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w88LbxHMn+H2RTtp8tTil+MthV1ws4qvXT2yPcCerg1oNRF20ascQDjiqCF18BVNEMSXumEaCoD3MA9rwmNvNg==" workbookSaltValue="VL0vZBmPNDbu5k526vOSt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3" i="17" s="1"/>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BM18" i="16" s="1"/>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L19" i="8" s="1"/>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L13" i="8"/>
  <c r="L19" i="8" s="1"/>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AG19" i="8"/>
  <c r="B13" i="7"/>
  <c r="E18" i="12"/>
  <c r="ER19" i="8"/>
  <c r="AE13" i="21"/>
  <c r="EL19" i="8"/>
  <c r="BE12" i="21"/>
  <c r="EQ19" i="8"/>
  <c r="EN19" i="8"/>
  <c r="E15" i="3"/>
  <c r="BA13" i="16"/>
  <c r="E17" i="3"/>
  <c r="ES19" i="8"/>
  <c r="G18" i="12"/>
  <c r="C18" i="7"/>
  <c r="W19" i="8"/>
  <c r="R8" i="9"/>
  <c r="X12" i="21" s="1"/>
  <c r="R19" i="8"/>
  <c r="EP19" i="8"/>
  <c r="EP19" i="19"/>
  <c r="BJ17" i="11"/>
  <c r="BL17" i="11"/>
  <c r="S13" i="16"/>
  <c r="P13" i="16"/>
  <c r="W13" i="20"/>
  <c r="H13" i="12"/>
  <c r="F13" i="7"/>
  <c r="AZ17" i="11"/>
  <c r="BJ11" i="11"/>
  <c r="BL11" i="11"/>
  <c r="T15" i="16"/>
  <c r="BV16" i="16"/>
  <c r="BW15" i="20"/>
  <c r="BV10" i="16"/>
  <c r="BU16" i="17"/>
  <c r="T13" i="16"/>
  <c r="T15" i="11"/>
  <c r="BG12" i="11"/>
  <c r="BH10" i="11"/>
  <c r="AQ10" i="21"/>
  <c r="BK16" i="11"/>
  <c r="BG16" i="11"/>
  <c r="S17" i="17"/>
  <c r="BM9" i="11"/>
  <c r="BH12" i="16"/>
  <c r="BK10" i="11"/>
  <c r="AY13" i="8"/>
  <c r="BD9" i="8"/>
  <c r="L10" i="2"/>
  <c r="S15" i="17"/>
  <c r="X15" i="16"/>
  <c r="X18" i="16" s="1"/>
  <c r="V10" i="16"/>
  <c r="AP13" i="16"/>
  <c r="F11" i="11"/>
  <c r="AQ11" i="11" s="1"/>
  <c r="T18" i="17"/>
  <c r="BF15" i="13"/>
  <c r="BE16" i="13"/>
  <c r="BF16" i="13"/>
  <c r="H20" i="20"/>
  <c r="AK20" i="20"/>
  <c r="T20" i="20"/>
  <c r="O16" i="11"/>
  <c r="Z20" i="20"/>
  <c r="G18" i="14"/>
  <c r="AV18" i="21" l="1"/>
  <c r="I19" i="8"/>
  <c r="D13" i="7"/>
  <c r="BD12" i="8"/>
  <c r="BE12" i="8"/>
  <c r="AJ19" i="8"/>
  <c r="M18" i="2"/>
  <c r="B12" i="6"/>
  <c r="E10" i="6"/>
  <c r="AO12" i="11"/>
  <c r="L11" i="14"/>
  <c r="AC10" i="11"/>
  <c r="U9" i="17"/>
  <c r="U19" i="17" s="1"/>
  <c r="L12" i="2"/>
  <c r="BL16" i="11"/>
  <c r="BJ16" i="11"/>
  <c r="AQ12" i="21"/>
  <c r="BH16" i="11"/>
  <c r="T11" i="11"/>
  <c r="BH11" i="11"/>
  <c r="BJ10" i="11"/>
  <c r="BI9" i="11"/>
  <c r="Q17" i="17"/>
  <c r="T16" i="11"/>
  <c r="AZ12" i="11"/>
  <c r="BV9" i="16"/>
  <c r="BU17" i="17"/>
  <c r="BU9" i="17"/>
  <c r="BV15" i="16"/>
  <c r="BW9" i="20"/>
  <c r="BM15" i="11"/>
  <c r="BI17" i="11"/>
  <c r="Q10" i="21"/>
  <c r="BK15" i="11"/>
  <c r="BF10" i="11"/>
  <c r="BH15" i="16"/>
  <c r="BH9" i="16"/>
  <c r="BE15" i="13"/>
  <c r="BW16" i="20"/>
  <c r="BW17" i="20"/>
  <c r="BU15" i="17"/>
  <c r="T17" i="16"/>
  <c r="BH17" i="11"/>
  <c r="BG9" i="11"/>
  <c r="R10" i="21"/>
  <c r="R13" i="21" s="1"/>
  <c r="V9" i="11"/>
  <c r="BI10" i="11"/>
  <c r="X9" i="17"/>
  <c r="X11" i="17"/>
  <c r="BK9" i="11"/>
  <c r="BK12" i="11"/>
  <c r="Q17" i="20"/>
  <c r="Q18" i="20" s="1"/>
  <c r="BH15" i="11"/>
  <c r="V15" i="11"/>
  <c r="AP16" i="20"/>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E20" i="20"/>
  <c r="G13" i="14"/>
  <c r="AA20" i="20"/>
  <c r="P20" i="20"/>
  <c r="U12" i="11"/>
  <c r="I20" i="20"/>
  <c r="U16" i="11"/>
  <c r="AX20" i="20"/>
  <c r="Y20" i="20"/>
  <c r="O10" i="11"/>
  <c r="AM20" i="20"/>
  <c r="Q20" i="20"/>
  <c r="AB20" i="20"/>
  <c r="AI20" i="20"/>
  <c r="AZ20" i="20"/>
  <c r="AV20" i="20"/>
  <c r="AU20" i="20"/>
  <c r="M20" i="20"/>
  <c r="AQ20" i="21"/>
  <c r="AP20" i="20"/>
  <c r="AH20" i="20"/>
  <c r="N20" i="20"/>
  <c r="AD20" i="20"/>
  <c r="AE20" i="20"/>
  <c r="AG20" i="20"/>
  <c r="AJ20" i="20"/>
  <c r="AF20" i="20"/>
  <c r="W20" i="20"/>
  <c r="F20" i="20"/>
  <c r="K20" i="20"/>
  <c r="L20" i="20"/>
  <c r="J20" i="20"/>
  <c r="S20" i="20"/>
  <c r="W20" i="21"/>
  <c r="T20" i="21"/>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W20" i="11"/>
  <c r="O17" i="11"/>
  <c r="AO20" i="20"/>
  <c r="H20" i="17"/>
  <c r="U17" i="11"/>
  <c r="AN20" i="20"/>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R20" i="16"/>
  <c r="O12" i="11"/>
  <c r="AG20" i="21"/>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U20" i="11"/>
  <c r="AT20" i="20"/>
  <c r="P20" i="17"/>
  <c r="AE20" i="21"/>
  <c r="AW20" i="16"/>
  <c r="AE20" i="16"/>
  <c r="Q20" i="21"/>
  <c r="BK20" i="16"/>
  <c r="W20" i="17"/>
  <c r="AL20" i="16"/>
  <c r="F20" i="21"/>
  <c r="Z20" i="11"/>
  <c r="J20" i="17"/>
  <c r="AB20" i="21"/>
  <c r="AR20" i="16"/>
  <c r="BD20" i="21"/>
  <c r="AA20" i="21"/>
  <c r="AS20" i="16"/>
  <c r="AE20" i="11"/>
  <c r="S20" i="16"/>
  <c r="AN20" i="17"/>
  <c r="V20" i="21"/>
  <c r="BC20" i="21"/>
  <c r="AZ20" i="11"/>
  <c r="AH20" i="17"/>
  <c r="M20" i="16"/>
  <c r="AF20" i="16"/>
  <c r="Y20" i="11"/>
  <c r="BD20" i="16"/>
  <c r="AV20" i="17"/>
  <c r="AH20" i="21"/>
  <c r="E20" i="16"/>
  <c r="AR20" i="11"/>
  <c r="BI20" i="16"/>
  <c r="G20" i="12"/>
  <c r="Z20" i="21"/>
  <c r="BQ20" i="16"/>
  <c r="AF20" i="21"/>
  <c r="AP20" i="17"/>
  <c r="AE20" i="17"/>
  <c r="BN20" i="16"/>
  <c r="J20" i="11"/>
  <c r="K20" i="16"/>
  <c r="AG20" i="16"/>
  <c r="N20" i="21"/>
  <c r="AU20" i="16"/>
  <c r="AA20" i="17"/>
  <c r="X20" i="21"/>
  <c r="H20" i="11"/>
  <c r="AJ20" i="16"/>
  <c r="AN20" i="16"/>
  <c r="R20" i="17"/>
  <c r="S20" i="17"/>
  <c r="AK20" i="21"/>
  <c r="T20" i="17"/>
  <c r="J20" i="16"/>
  <c r="AO20" i="16"/>
  <c r="AD20" i="16"/>
  <c r="Y20" i="16"/>
  <c r="J20" i="21"/>
  <c r="AC20" i="11"/>
  <c r="Q20" i="17"/>
  <c r="AS20" i="11"/>
  <c r="L20" i="21"/>
  <c r="V20" i="16"/>
  <c r="AS20" i="21"/>
  <c r="BH20" i="16"/>
  <c r="AW20" i="21"/>
  <c r="AO20" i="17"/>
  <c r="I20" i="12"/>
  <c r="AO20" i="21"/>
  <c r="AI20" i="11"/>
  <c r="W20" i="11"/>
  <c r="BL20" i="16" l="1"/>
  <c r="AQ20" i="17"/>
  <c r="AT20" i="21"/>
  <c r="AP20" i="1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<sst xmlns="http://schemas.openxmlformats.org/spreadsheetml/2006/main" count="2094" uniqueCount="913">
  <si>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</si>
  <si>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</si>
  <si>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</si>
  <si>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</si>
  <si>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</si>
  <si>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</si>
  <si>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</si>
  <si>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</si>
  <si>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</si>
  <si>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</si>
  <si>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</si>
  <si>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</si>
  <si>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</si>
  <si>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</si>
  <si>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</si>
  <si>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</si>
  <si>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</si>
  <si>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</si>
  <si>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</si>
  <si>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</si>
  <si>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</si>
  <si>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</si>
  <si>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</si>
  <si>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</si>
  <si>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</si>
  <si>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</si>
  <si>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</si>
  <si>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</si>
  <si>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</si>
  <si>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</si>
  <si>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</si>
  <si>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</si>
  <si>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</si>
  <si>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</si>
  <si>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</si>
  <si>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</si>
  <si>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</si>
  <si>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</si>
  <si>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</si>
  <si>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</si>
  <si>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</si>
  <si>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</si>
  <si>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</si>
  <si>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</si>
  <si>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</si>
  <si>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</si>
  <si>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</si>
  <si>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</si>
  <si>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</si>
  <si>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</si>
  <si>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</si>
  <si>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</si>
  <si>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</si>
  <si>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</si>
  <si>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</si>
  <si>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</si>
  <si>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</si>
  <si>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</si>
  <si>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</si>
  <si>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</si>
  <si>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</si>
  <si>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</si>
  <si>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</si>
  <si>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</si>
  <si>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</si>
  <si>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</si>
  <si>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</si>
  <si>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</si>
  <si>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</si>
  <si>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</si>
  <si>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</si>
  <si>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</si>
  <si>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</si>
  <si>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</si>
  <si>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</si>
  <si>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</si>
  <si>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</si>
  <si>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</si>
  <si>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</si>
  <si>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</si>
  <si>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</si>
  <si>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</si>
  <si>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</si>
  <si>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</si>
  <si>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</si>
  <si>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</si>
  <si>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</si>
  <si>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</si>
  <si>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</si>
  <si>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</si>
  <si>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</si>
  <si>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</si>
  <si>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</si>
  <si>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</si>
  <si>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</si>
  <si>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</si>
  <si>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</si>
  <si>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</si>
  <si>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</si>
  <si>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</si>
  <si>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</si>
  <si>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</si>
  <si>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</si>
  <si>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</si>
  <si>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</si>
  <si>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</si>
  <si>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</si>
  <si>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</si>
  <si>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</si>
  <si>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</si>
  <si>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</si>
  <si>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</si>
  <si>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</si>
  <si>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</si>
  <si>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</si>
  <si>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</si>
  <si>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</si>
  <si>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</si>
  <si>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</si>
  <si>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</si>
  <si>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</si>
  <si>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</si>
  <si>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</si>
  <si>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</si>
  <si>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</si>
  <si>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</si>
  <si>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</si>
  <si>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</si>
  <si>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</si>
  <si>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</si>
  <si>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</si>
  <si>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</si>
  <si>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</si>
  <si>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</si>
  <si>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</si>
  <si>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</si>
  <si>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</si>
  <si>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</si>
  <si>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</si>
  <si>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</si>
  <si>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</si>
  <si>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</si>
  <si>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</si>
  <si>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</si>
  <si>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</si>
  <si>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</si>
  <si>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</si>
  <si>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</si>
  <si>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</si>
  <si>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</si>
  <si>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</si>
  <si>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</si>
  <si>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</si>
  <si>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</si>
  <si>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</si>
  <si>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</si>
  <si>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</si>
  <si>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</si>
  <si>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</si>
  <si>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</si>
  <si>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</si>
  <si>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</si>
  <si>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</si>
  <si>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</si>
  <si>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</si>
  <si>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</si>
  <si>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</si>
  <si>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</si>
  <si>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</si>
  <si>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</si>
  <si>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</si>
  <si>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</si>
  <si>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</si>
  <si>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</si>
  <si>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</si>
  <si>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</si>
  <si>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</si>
  <si>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</si>
  <si>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</si>
  <si>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</si>
  <si>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</si>
  <si>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</si>
  <si>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</si>
  <si>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</si>
  <si>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</si>
  <si>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</si>
  <si>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</si>
  <si>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</si>
  <si>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</si>
  <si>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</si>
  <si>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</si>
  <si>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</si>
  <si>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</si>
  <si>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</si>
  <si>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</si>
  <si>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</si>
  <si>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</si>
  <si>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</si>
  <si>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</si>
  <si>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</si>
  <si>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</si>
  <si>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</si>
  <si>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</si>
  <si>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</si>
  <si>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</si>
  <si>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</si>
  <si>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</si>
  <si>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</si>
  <si>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</si>
  <si>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</si>
  <si>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</si>
  <si>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</si>
  <si>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</si>
  <si>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</si>
  <si>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</si>
  <si>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</si>
  <si>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</si>
  <si>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</si>
  <si>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</si>
  <si>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</si>
  <si>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</si>
  <si>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</si>
  <si>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</si>
  <si>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</si>
  <si>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</si>
  <si>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</si>
  <si>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</si>
  <si>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</si>
  <si>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</si>
  <si>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</si>
  <si>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</si>
  <si>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</si>
  <si>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</si>
  <si>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</si>
  <si>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</si>
  <si>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</si>
  <si>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</si>
  <si>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</si>
  <si>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</si>
  <si>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</si>
  <si>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</si>
  <si>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</si>
  <si>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</si>
  <si>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</si>
  <si>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</si>
  <si>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</si>
  <si>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</si>
  <si>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</si>
  <si>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</si>
  <si>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</si>
  <si>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</si>
  <si>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</si>
  <si>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</si>
  <si>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</si>
  <si>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</si>
  <si>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</si>
  <si>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</si>
  <si>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</si>
  <si>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</si>
  <si>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</si>
  <si>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</si>
  <si>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</si>
  <si>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</si>
  <si>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</si>
  <si>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</si>
  <si>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</si>
  <si>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</si>
  <si>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</si>
  <si>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</si>
  <si>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</si>
  <si>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</si>
  <si>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</si>
  <si>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</si>
  <si>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</si>
  <si>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</si>
  <si>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</si>
  <si>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</si>
  <si>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</si>
  <si>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</si>
  <si>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</si>
  <si>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</si>
  <si>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</si>
  <si>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</si>
  <si>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</si>
  <si>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</si>
  <si>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</si>
  <si>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</si>
  <si>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</si>
  <si>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</si>
  <si>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</si>
  <si>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</si>
  <si>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</si>
  <si>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</si>
  <si>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</si>
  <si>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</si>
  <si>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</si>
  <si>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</si>
  <si>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</si>
  <si>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</si>
  <si>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</si>
  <si>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</si>
  <si>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</si>
  <si>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</si>
  <si>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</si>
  <si>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</si>
  <si>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</si>
  <si>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</si>
  <si>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</si>
  <si>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</si>
  <si>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</si>
  <si>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</si>
  <si>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</si>
  <si>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</si>
  <si>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</si>
  <si>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</si>
  <si>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</si>
  <si>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</si>
  <si>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</si>
  <si>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</si>
  <si>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</si>
  <si>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</si>
  <si>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</si>
  <si>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</si>
  <si>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</si>
  <si>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</si>
  <si>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</si>
  <si>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</si>
  <si>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</si>
  <si>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</si>
  <si>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</si>
  <si>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</si>
  <si>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</si>
  <si>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</si>
  <si>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</si>
  <si>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</si>
  <si>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</si>
  <si>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</si>
  <si>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</si>
  <si>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</si>
  <si>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</si>
  <si>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</si>
  <si>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</si>
  <si>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</si>
  <si>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</si>
  <si>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</si>
  <si>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</si>
  <si>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</si>
  <si>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</si>
  <si>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</si>
  <si>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</si>
  <si>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</si>
  <si>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</si>
  <si>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</si>
  <si>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</si>
  <si>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</si>
  <si>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</si>
  <si>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</si>
  <si>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</si>
  <si>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</si>
  <si>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</si>
  <si>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</si>
  <si>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</si>
  <si>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</si>
  <si>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</si>
  <si>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</si>
  <si>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</si>
  <si>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</si>
  <si>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</si>
  <si>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</si>
  <si>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</si>
  <si>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</si>
  <si>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</si>
  <si>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</si>
  <si>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</si>
  <si>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</si>
  <si>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</si>
  <si>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</si>
  <si>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</si>
  <si>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</si>
  <si>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</si>
  <si>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</si>
  <si>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</si>
  <si>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</si>
  <si>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</si>
  <si>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</si>
  <si>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</si>
  <si>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</si>
  <si>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</si>
  <si>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</si>
  <si>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</si>
  <si>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</si>
  <si>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</si>
  <si>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</si>
  <si>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</si>
  <si>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</si>
  <si>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</si>
  <si>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</si>
  <si>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</si>
  <si>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</si>
  <si>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</si>
  <si>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</si>
  <si>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</si>
  <si>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</si>
  <si>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</si>
  <si>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</si>
  <si>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</si>
  <si>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</si>
  <si>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</si>
  <si>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</si>
  <si>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</si>
  <si>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</si>
  <si>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</si>
  <si>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</si>
  <si>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</si>
  <si>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</si>
  <si>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</si>
  <si>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</si>
  <si>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</si>
  <si>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</si>
  <si>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</si>
  <si>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</si>
  <si>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</si>
  <si>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</si>
  <si>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</si>
  <si>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</si>
  <si>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</si>
  <si>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</si>
  <si>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</si>
  <si>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</si>
  <si>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</si>
  <si>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</si>
  <si>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</si>
  <si>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</si>
  <si>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</si>
  <si>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</si>
  <si>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</si>
  <si>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</si>
  <si>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</si>
  <si>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</si>
  <si>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</si>
  <si>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</si>
  <si>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</si>
  <si>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</si>
  <si>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</si>
  <si>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</si>
  <si>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</si>
  <si>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</si>
  <si>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</si>
  <si>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</si>
  <si>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</si>
  <si>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</si>
  <si>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</si>
  <si>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</si>
  <si>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</si>
  <si>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</si>
  <si>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</si>
  <si>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</si>
  <si>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</si>
  <si>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</si>
  <si>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</si>
  <si>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</si>
  <si>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</si>
  <si>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</si>
  <si>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</si>
  <si>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</si>
  <si>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</si>
  <si>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</si>
  <si>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</si>
  <si>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</si>
  <si>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</si>
  <si>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</si>
  <si>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</si>
  <si>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</si>
  <si>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</si>
  <si>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</si>
  <si>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</si>
  <si>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</si>
  <si>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</si>
  <si>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</si>
  <si>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</si>
  <si>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</si>
  <si>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</si>
  <si>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</si>
  <si>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</si>
  <si>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</si>
  <si>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</si>
  <si>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</si>
  <si>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</si>
  <si>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</si>
  <si>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</si>
  <si>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</si>
  <si>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</si>
  <si>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</si>
  <si>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</si>
  <si>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</si>
  <si>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</si>
  <si>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</si>
  <si>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</si>
  <si>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</si>
  <si>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</si>
  <si>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</si>
  <si>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</si>
  <si>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</si>
  <si>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</si>
  <si>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</si>
  <si>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</si>
  <si>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</si>
  <si>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</si>
  <si>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</si>
  <si>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</si>
  <si>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</si>
  <si>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</si>
  <si>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</si>
  <si>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</si>
  <si>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</si>
  <si>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</si>
  <si>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</si>
  <si>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</si>
  <si>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</si>
  <si>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</si>
  <si>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</si>
  <si>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</si>
  <si>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</si>
  <si>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</si>
  <si>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</si>
  <si>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</si>
  <si>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</si>
  <si>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</si>
  <si>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</si>
  <si>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</si>
  <si>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</si>
  <si>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</si>
  <si>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</si>
  <si>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</si>
  <si>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</si>
  <si>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</si>
  <si>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</si>
  <si>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</si>
  <si>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</si>
  <si>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</si>
  <si>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</si>
  <si>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</si>
  <si>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</si>
  <si>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</si>
  <si>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</si>
  <si>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</si>
  <si>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</si>
  <si>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</si>
  <si>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</si>
  <si>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</si>
  <si>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</si>
  <si>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</si>
  <si>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</si>
  <si>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</si>
  <si>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</si>
  <si>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</si>
  <si>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</si>
  <si>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</si>
  <si>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</si>
  <si>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</si>
  <si>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</si>
  <si>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</si>
  <si>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</si>
  <si>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</si>
  <si>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</si>
  <si>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</si>
  <si>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</si>
  <si>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</si>
  <si>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</si>
  <si>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</si>
  <si>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</si>
  <si>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</si>
  <si>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</si>
  <si>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</si>
  <si>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</si>
  <si>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</si>
  <si>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</si>
  <si>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</si>
  <si>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</si>
  <si>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</si>
  <si>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</si>
  <si>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</si>
  <si>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</si>
  <si>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</si>
  <si>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</si>
  <si>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</si>
  <si>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</si>
  <si>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</si>
  <si>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</si>
  <si>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</si>
  <si>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</si>
  <si>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</si>
  <si>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</si>
  <si>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</si>
  <si>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</si>
  <si>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</si>
  <si>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</si>
  <si>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</si>
  <si>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</si>
  <si>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</si>
  <si>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</si>
  <si>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</si>
  <si>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</si>
  <si>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</si>
  <si>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</si>
  <si>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</si>
  <si>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</si>
  <si>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</si>
  <si>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</si>
  <si>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</si>
  <si>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</si>
  <si>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</si>
  <si>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</si>
  <si>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</si>
  <si>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</si>
  <si>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</si>
  <si>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</si>
  <si>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</si>
  <si>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</si>
  <si>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</si>
  <si>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</si>
  <si>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</si>
  <si>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</si>
  <si>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</si>
  <si>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</si>
  <si>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</si>
  <si>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</si>
  <si>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</si>
  <si>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</si>
  <si>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</si>
  <si>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</si>
  <si>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</si>
  <si>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</si>
  <si>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</si>
  <si>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</si>
  <si>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</si>
  <si>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</si>
  <si>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</si>
  <si>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</si>
  <si>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</si>
  <si>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</si>
  <si>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</si>
  <si>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</si>
  <si>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</si>
  <si>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</si>
  <si>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</si>
  <si>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</si>
  <si>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</si>
  <si>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</si>
  <si>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</si>
  <si>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</si>
  <si>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</si>
  <si>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</si>
  <si>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</si>
  <si>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</si>
  <si>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</si>
  <si>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</si>
  <si>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</si>
  <si>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</si>
  <si>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</si>
  <si>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</si>
  <si>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</si>
  <si>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</si>
  <si>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</si>
  <si>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</si>
  <si>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</si>
  <si>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</si>
  <si>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</si>
  <si>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</si>
  <si>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</si>
  <si>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</si>
  <si>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</si>
  <si>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</si>
  <si>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</si>
  <si>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</si>
  <si>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</si>
  <si>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</si>
  <si>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</si>
  <si>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</si>
  <si>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</si>
  <si>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</si>
  <si>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</si>
  <si>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</si>
  <si>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</si>
  <si>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</si>
  <si>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</si>
  <si>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</si>
  <si>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</si>
  <si>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</si>
  <si>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</si>
  <si>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</si>
  <si>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</si>
  <si>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</si>
  <si>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</si>
  <si>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</si>
  <si>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</si>
  <si>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</si>
  <si>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</si>
  <si>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</si>
  <si>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</si>
  <si>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</si>
  <si>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</si>
  <si>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</si>
  <si>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</si>
  <si>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</si>
  <si>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</si>
  <si>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</si>
  <si>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</si>
  <si>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</si>
  <si>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</si>
  <si>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</si>
  <si>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</si>
  <si>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</si>
  <si>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</si>
  <si>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</si>
  <si>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</si>
  <si>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</si>
  <si>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</si>
  <si>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</si>
  <si>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</si>
  <si>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</si>
  <si>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</si>
  <si>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</si>
  <si>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</si>
  <si>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</si>
  <si>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</si>
  <si>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</si>
  <si>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</si>
  <si>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</si>
  <si>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</si>
  <si>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</si>
  <si>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</si>
  <si>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</si>
  <si>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</si>
  <si>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</si>
  <si>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</si>
  <si>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</si>
  <si>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</si>
  <si>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</si>
  <si>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</si>
  <si>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</si>
  <si>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</si>
  <si>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</si>
  <si>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</si>
  <si>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</si>
  <si>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</si>
  <si>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</si>
  <si>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</si>
  <si>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</si>
  <si>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</si>
  <si>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</si>
  <si>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</si>
  <si>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</si>
  <si>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</si>
  <si>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</si>
  <si>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</si>
  <si>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</si>
  <si>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</si>
  <si>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</si>
  <si>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</si>
  <si>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</si>
  <si>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</si>
  <si>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</si>
  <si>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</si>
  <si>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</si>
  <si>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</si>
  <si>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</si>
  <si>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</si>
  <si>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</si>
  <si>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</si>
  <si>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</si>
  <si>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</si>
  <si>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</si>
  <si>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</si>
  <si>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</si>
  <si>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</si>
  <si>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</si>
  <si>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</si>
  <si>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</si>
  <si>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</si>
  <si>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</si>
  <si>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</si>
  <si>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</si>
  <si>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</si>
  <si>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</si>
  <si>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</si>
  <si>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</si>
  <si>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</si>
  <si>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</si>
  <si>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</si>
  <si>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</si>
  <si>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</si>
  <si>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</si>
  <si>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</si>
  <si>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</si>
  <si>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</si>
  <si>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</si>
  <si>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</si>
  <si>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</si>
  <si>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</si>
  <si>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</si>
  <si>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</si>
  <si>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</si>
  <si>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</si>
  <si>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</si>
  <si>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</si>
  <si>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</si>
  <si>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</si>
  <si>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</si>
  <si>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</si>
  <si>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</si>
  <si>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</si>
  <si>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</si>
  <si>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</si>
  <si>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</si>
  <si>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</si>
  <si>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</si>
  <si>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</si>
  <si>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</si>
  <si>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</si>
  <si>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</si>
  <si>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</si>
  <si>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</si>
  <si>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</si>
  <si>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</si>
  <si>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</si>
  <si>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</si>
  <si>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</si>
  <si>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</si>
  <si>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</si>
  <si>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</si>
  <si>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</si>
  <si>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</si>
  <si>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</si>
  <si>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</si>
  <si>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</si>
  <si>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</si>
  <si>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</si>
  <si>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</si>
  <si>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</si>
  <si>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</si>
  <si>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</si>
  <si>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</si>
  <si>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</si>
  <si>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</si>
  <si>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</si>
  <si>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</si>
  <si>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</si>
  <si>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</si>
  <si>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</si>
  <si>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</si>
  <si>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</si>
  <si>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</si>
  <si>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</si>
  <si>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</si>
  <si>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</si>
  <si>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</si>
  <si>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</si>
  <si>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</si>
  <si>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</si>
  <si>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</si>
  <si>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</si>
  <si>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</si>
  <si>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</si>
  <si>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</si>
  <si>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</si>
  <si>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</si>
  <si>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</si>
  <si>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</si>
  <si>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</si>
  <si>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</si>
  <si>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</si>
  <si>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</si>
  <si>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</si>
  <si>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</si>
  <si>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</si>
  <si>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</si>
  <si>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</si>
  <si>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</si>
  <si>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</si>
  <si>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</si>
  <si>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</si>
  <si>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</si>
  <si>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</si>
  <si>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</si>
  <si>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</si>
  <si>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</si>
  <si>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</si>
  <si>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</si>
  <si>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</si>
  <si>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</si>
  <si>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</si>
  <si>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</si>
  <si>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</si>
  <si>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</si>
  <si>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</si>
  <si>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</si>
  <si>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</si>
  <si>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</si>
  <si>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</si>
  <si>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</si>
  <si>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</si>
  <si>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</si>
  <si>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</si>
  <si>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</si>
  <si>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</si>
  <si>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</si>
  <si>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</si>
  <si>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</si>
  <si>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ASTURIAS</t>
  </si>
  <si>
    <t>Provincias</t>
  </si>
  <si>
    <t>Resumenes por Partidos Judiciales</t>
  </si>
  <si>
    <t>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</si>
</sst>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909</v>
      </c>
      <c r="C10" s="372"/>
      <c r="D10" s="372"/>
      <c r="E10" s="381"/>
      <c r="F10" s="3"/>
      <c r="Q10" s="346">
        <v>0</v>
      </c>
    </row>
    <row r="11" spans="1:19" ht="13.5" thickBot="1">
      <c r="A11" s="382" t="s">
        <v>911</v>
      </c>
      <c r="B11" s="383" t="s">
        <v>912</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h0bYRjZodqM/zLVyGYL+bODRQ2vZ1e9As89z85d9cnQu6om/+2awijoh1DJxR+k8vb07E7Y9W7vcWJpIG5Jbg==" saltValue="KD6i9ysOGAlpqG36WgCep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ASTURIAS</v>
      </c>
      <c r="C2" s="375"/>
      <c r="D2" s="375"/>
      <c r="E2" s="375"/>
      <c r="F2" s="375"/>
    </row>
    <row r="3" spans="1:14" ht="19.5">
      <c r="A3" s="390" t="s">
        <v>115</v>
      </c>
      <c r="B3" s="391" t="str">
        <f>Criterios!A10 &amp;"  "&amp;Criterios!B10</f>
        <v>Provincias  ASTURIAS</v>
      </c>
      <c r="D3" s="375"/>
      <c r="E3" s="375"/>
      <c r="F3" s="375"/>
    </row>
    <row r="4" spans="1:14" ht="13.5" thickBot="1">
      <c r="A4" s="375"/>
      <c r="B4" s="391" t="str">
        <f>Criterios!A11 &amp;"  "&amp;Criterios!B11</f>
        <v>Resumenes por Partidos Judiciales  GRADO</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2</v>
      </c>
      <c r="C12" s="403">
        <f>IF(ISNUMBER(IF(J_V="SI",Datos!I12,Datos!I12+Datos!Y12)),IF(J_V="SI",Datos!I12,Datos!I12+Datos!Y12)," - ")</f>
        <v>389</v>
      </c>
      <c r="D12" s="404">
        <f>IF(ISNUMBER(C12/Datos!BH12),C12/Datos!BH12," - ")</f>
        <v>194.5</v>
      </c>
      <c r="E12" s="403">
        <f>IF(ISNUMBER(IF(J_V="SI",Datos!J12,Datos!J12+Datos!Z12)),IF(J_V="SI",Datos!J12,Datos!J12+Datos!Z12)," - ")</f>
        <v>212</v>
      </c>
      <c r="F12" s="404">
        <f>IF(ISNUMBER(E12/B12),E12/B12," - ")</f>
        <v>106</v>
      </c>
      <c r="G12" s="403">
        <f>IF(ISNUMBER(IF(J_V="SI",Datos!K12,Datos!K12+Datos!AA12)),IF(J_V="SI",Datos!K12,Datos!K12+Datos!AA12)," - ")</f>
        <v>275</v>
      </c>
      <c r="H12" s="404">
        <f>IF(ISNUMBER(G12/B12),G12/B12," - ")</f>
        <v>137.5</v>
      </c>
      <c r="I12" s="403">
        <f>IF(ISNUMBER(IF(J_V="SI",Datos!L12,Datos!L12+Datos!AB12)),IF(J_V="SI",Datos!L12,Datos!L12+Datos!AB12)," - ")</f>
        <v>326</v>
      </c>
      <c r="J12" s="404">
        <f>IF(ISNUMBER(I12/B12),I12/B12," - ")</f>
        <v>163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v>
      </c>
      <c r="C13" s="849">
        <f>SUBTOTAL(9,C8:C12)</f>
        <v>390</v>
      </c>
      <c r="D13" s="850" t="str">
        <f>IF(ISNUMBER(C13/Datos!BI13),C13/Datos!BI13," - ")</f>
        <v xml:space="preserve"> - </v>
      </c>
      <c r="E13" s="849">
        <f>SUBTOTAL(9,E8:E12)</f>
        <v>213</v>
      </c>
      <c r="F13" s="850">
        <f>IF(ISNUMBER(E13/B13),E13/B13," - ")</f>
        <v>106.5</v>
      </c>
      <c r="G13" s="849">
        <f>SUBTOTAL(9,G8:G12)</f>
        <v>276</v>
      </c>
      <c r="H13" s="850">
        <f>IF(ISNUMBER(G13/B13),G13/B13," - ")</f>
        <v>138</v>
      </c>
      <c r="I13" s="849">
        <f>SUBTOTAL(9,I8:I12)</f>
        <v>327</v>
      </c>
      <c r="J13" s="850">
        <f>IF(ISNUMBER(I13/B13),I13/B13," - ")</f>
        <v>163.5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2</v>
      </c>
      <c r="C16" s="403">
        <f>IF(ISNUMBER(IF(D_I="SI",Datos!I16,Datos!I16+Datos!AC16)),IF(D_I="SI",Datos!I16,Datos!I16+Datos!AC16)," - ")</f>
        <v>365</v>
      </c>
      <c r="D16" s="404">
        <f>IF(ISNUMBER(C16/Datos!BH16),C16/Datos!BH16," - ")</f>
        <v>182.5</v>
      </c>
      <c r="E16" s="403">
        <f>IF(ISNUMBER(IF(D_I="SI",Datos!J16,Datos!J16+Datos!AD16)),IF(D_I="SI",Datos!J16,Datos!J16+Datos!AD16)," - ")</f>
        <v>276</v>
      </c>
      <c r="F16" s="404">
        <f>IF(ISNUMBER(E16/B16),E16/B16," - ")</f>
        <v>138</v>
      </c>
      <c r="G16" s="403">
        <f>IF(ISNUMBER(IF(D_I="SI",Datos!K16,Datos!K16+Datos!AE16)),IF(D_I="SI",Datos!K16,Datos!K16+Datos!AE16)," - ")</f>
        <v>343</v>
      </c>
      <c r="H16" s="404">
        <f>IF(ISNUMBER(G16/B16),G16/B16," - ")</f>
        <v>171.5</v>
      </c>
      <c r="I16" s="403">
        <f>IF(ISNUMBER(IF(D_I="SI",Datos!L16,Datos!L16+Datos!AF16)),IF(D_I="SI",Datos!L16,Datos!L16+Datos!AF16)," - ")</f>
        <v>298</v>
      </c>
      <c r="J16" s="404">
        <f>IF(ISNUMBER(I16/B16),I16/B16," - ")</f>
        <v>149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66</v>
      </c>
      <c r="D17" s="404">
        <f>IF(ISNUMBER(C17/Datos!BH17),C17/Datos!BH17," - ")</f>
        <v>66</v>
      </c>
      <c r="E17" s="403">
        <f>IF(ISNUMBER(IF(D_I="SI",Datos!J17,Datos!J17+Datos!AD17)),IF(D_I="SI",Datos!J17,Datos!J17+Datos!AD17)," - ")</f>
        <v>13</v>
      </c>
      <c r="F17" s="404">
        <f>IF(ISNUMBER(E17/B17),E17/B17," - ")</f>
        <v>13</v>
      </c>
      <c r="G17" s="403">
        <f>IF(ISNUMBER(IF(D_I="SI",Datos!K17,Datos!K17+Datos!AE17)),IF(D_I="SI",Datos!K17,Datos!K17+Datos!AE17)," - ")</f>
        <v>8</v>
      </c>
      <c r="H17" s="404">
        <f>IF(ISNUMBER(G17/B17),G17/B17," - ")</f>
        <v>8</v>
      </c>
      <c r="I17" s="403">
        <f>IF(ISNUMBER(IF(D_I="SI",Datos!L17,Datos!L17+Datos!AF17)),IF(D_I="SI",Datos!L17,Datos!L17+Datos!AF17)," - ")</f>
        <v>71</v>
      </c>
      <c r="J17" s="404">
        <f>IF(ISNUMBER(I17/B17),I17/B17," - ")</f>
        <v>71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2</v>
      </c>
      <c r="C18" s="849">
        <f>SUBTOTAL(9,C14:C17)</f>
        <v>431</v>
      </c>
      <c r="D18" s="850" t="str">
        <f>IF(ISNUMBER(C18/Datos!BI18),C18/Datos!BI18," - ")</f>
        <v xml:space="preserve"> - </v>
      </c>
      <c r="E18" s="849">
        <f>SUBTOTAL(9,E14:E17)</f>
        <v>289</v>
      </c>
      <c r="F18" s="850">
        <f>IF(ISNUMBER(E18/B18),E18/B18," - ")</f>
        <v>144.5</v>
      </c>
      <c r="G18" s="849">
        <f>SUBTOTAL(9,G14:G17)</f>
        <v>351</v>
      </c>
      <c r="H18" s="850">
        <f>IF(ISNUMBER(G18/B18),G18/B18," - ")</f>
        <v>175.5</v>
      </c>
      <c r="I18" s="849">
        <f>SUBTOTAL(9,I14:I17)</f>
        <v>369</v>
      </c>
      <c r="J18" s="850">
        <f>IF(ISNUMBER(I18/B18),I18/B18," - ")</f>
        <v>184.5</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2</v>
      </c>
      <c r="C19" s="794">
        <f>SUBTOTAL(9,C9:C18)</f>
        <v>821</v>
      </c>
      <c r="D19" s="795" t="str">
        <f>IF(ISNUMBER(C19/Datos!BI19),C19/Datos!BI19," - ")</f>
        <v xml:space="preserve"> - </v>
      </c>
      <c r="E19" s="794">
        <f>SUBTOTAL(9,E9:E18)</f>
        <v>502</v>
      </c>
      <c r="F19" s="795">
        <f>IF(ISNUMBER(E19/B19),E19/B19," - ")</f>
        <v>251</v>
      </c>
      <c r="G19" s="794">
        <f>SUBTOTAL(9,G9:G18)</f>
        <v>627</v>
      </c>
      <c r="H19" s="795">
        <f>IF(ISNUMBER(G19/B19),G19/B19," - ")</f>
        <v>313.5</v>
      </c>
      <c r="I19" s="794">
        <f>SUBTOTAL(9,I9:I18)</f>
        <v>696</v>
      </c>
      <c r="J19" s="795">
        <f>IF(ISNUMBER(I19/B19),I19/B19," - ")</f>
        <v>348</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OTfb6I9o2fMzt7PwqdNRj+8sFB+5YLmhSuYRWPgaIp2b6OrbqvPh5QMdQnLmZGBpd+9dzSeaAkc3VKAnnUOf6w==" saltValue="S07CscyhGOhJyTaAj8lq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GRADO</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ENxCxL1JxlDSkCOo0oPWbgpnvZJb3n/xF6c1corVTgKCC5vi59HX0uFrAaDxqYbavKtY7yqz8Q4NsafFjrLl+g==" saltValue="gCVSLAP6g013hvwa5RtKg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ASTURIAS</v>
      </c>
      <c r="C2" s="391"/>
    </row>
    <row r="3" spans="1:9" ht="19.5">
      <c r="A3" s="425" t="s">
        <v>11</v>
      </c>
      <c r="B3" s="391" t="str">
        <f>Criterios!A10 &amp;"  "&amp;Criterios!B10</f>
        <v>Provincias  ASTURIAS</v>
      </c>
      <c r="C3" s="391"/>
      <c r="D3" s="425"/>
    </row>
    <row r="4" spans="1:9" ht="13.5" thickBot="1">
      <c r="B4" s="391" t="str">
        <f>Criterios!A11 &amp;"  "&amp;Criterios!B11</f>
        <v>Resumenes por Partidos Judiciales  GRADO</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2</v>
      </c>
      <c r="C12" s="410">
        <f>Datos!AQ12</f>
        <v>2</v>
      </c>
      <c r="D12" s="403">
        <f>IF(ISNUMBER(Datos!M12),Datos!M12," - ")</f>
        <v>95</v>
      </c>
      <c r="E12" s="404">
        <f t="shared" si="0"/>
        <v>47.5</v>
      </c>
      <c r="F12" s="403">
        <f>IF(ISNUMBER(Datos!N12),Datos!N12," - ")</f>
        <v>120</v>
      </c>
      <c r="G12" s="404">
        <f t="shared" si="1"/>
        <v>60</v>
      </c>
      <c r="H12" s="403">
        <f>IF(ISNUMBER(Datos!O12),Datos!O12," - ")</f>
        <v>78</v>
      </c>
      <c r="I12" s="404">
        <f t="shared" si="2"/>
        <v>39</v>
      </c>
    </row>
    <row r="13" spans="1:9" ht="14.25" thickTop="1" thickBot="1">
      <c r="A13" s="848" t="str">
        <f>Datos!A13</f>
        <v>TOTAL</v>
      </c>
      <c r="B13" s="849">
        <f>Datos!AO13</f>
        <v>3</v>
      </c>
      <c r="C13" s="851">
        <f>Datos!AR13</f>
        <v>2</v>
      </c>
      <c r="D13" s="849">
        <f>SUBTOTAL(9,D9:D12)</f>
        <v>96</v>
      </c>
      <c r="E13" s="850">
        <f t="shared" si="0"/>
        <v>32</v>
      </c>
      <c r="F13" s="849">
        <f>SUBTOTAL(9,F9:F12)</f>
        <v>120</v>
      </c>
      <c r="G13" s="850">
        <f t="shared" si="1"/>
        <v>40</v>
      </c>
      <c r="H13" s="849">
        <f>SUBTOTAL(9,H9:H12)</f>
        <v>78</v>
      </c>
      <c r="I13" s="850">
        <f>IF(ISNUMBER(H13/B13),H13/B13," - ")</f>
        <v>26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2</v>
      </c>
      <c r="C16" s="428">
        <f>Datos!AQ16</f>
        <v>2</v>
      </c>
      <c r="D16" s="403">
        <f>IF(ISNUMBER(Datos!M16),Datos!M16," - ")</f>
        <v>26</v>
      </c>
      <c r="E16" s="404">
        <f t="shared" si="3"/>
        <v>13</v>
      </c>
      <c r="F16" s="403">
        <f>IF(ISNUMBER(Datos!N16),Datos!N16," - ")</f>
        <v>156</v>
      </c>
      <c r="G16" s="404">
        <f t="shared" si="4"/>
        <v>78</v>
      </c>
      <c r="H16" s="403">
        <f>IF(ISNUMBER(Datos!O16),Datos!O16," - ")</f>
        <v>7</v>
      </c>
      <c r="I16" s="404">
        <f t="shared" si="5"/>
        <v>3.5</v>
      </c>
    </row>
    <row r="17" spans="1:9" ht="13.5" thickBot="1">
      <c r="A17" s="402" t="str">
        <f>Datos!A17</f>
        <v>Jdos. Violencia contra la mujer</v>
      </c>
      <c r="B17" s="427">
        <f>Datos!AO17</f>
        <v>1</v>
      </c>
      <c r="C17" s="428">
        <f>Datos!AQ17</f>
        <v>0</v>
      </c>
      <c r="D17" s="403">
        <f>IF(ISNUMBER(Datos!M17),Datos!M17," - ")</f>
        <v>2</v>
      </c>
      <c r="E17" s="404">
        <f>IF(ISNUMBER(D17/B17),D17/B17," - ")</f>
        <v>2</v>
      </c>
      <c r="F17" s="403">
        <f>IF(ISNUMBER(Datos!N17),Datos!N17," - ")</f>
        <v>7</v>
      </c>
      <c r="G17" s="404">
        <f>IF(ISNUMBER(F17/B17),F17/B17," - ")</f>
        <v>7</v>
      </c>
      <c r="H17" s="403">
        <f>IF(ISNUMBER(Datos!O17),Datos!O17," - ")</f>
        <v>0</v>
      </c>
      <c r="I17" s="404">
        <f t="shared" si="5"/>
        <v>0</v>
      </c>
    </row>
    <row r="18" spans="1:9" ht="14.25" thickTop="1" thickBot="1">
      <c r="A18" s="848" t="str">
        <f>Datos!A18</f>
        <v>TOTAL</v>
      </c>
      <c r="B18" s="849">
        <f>Datos!AO18</f>
        <v>3</v>
      </c>
      <c r="C18" s="851">
        <f>Datos!AR18</f>
        <v>2</v>
      </c>
      <c r="D18" s="849">
        <f>SUBTOTAL(9,D15:D17)</f>
        <v>28</v>
      </c>
      <c r="E18" s="850">
        <f t="shared" si="3"/>
        <v>9.3333333333333339</v>
      </c>
      <c r="F18" s="849">
        <f>SUBTOTAL(9,F15:F17)</f>
        <v>163</v>
      </c>
      <c r="G18" s="850">
        <f t="shared" si="4"/>
        <v>54.333333333333336</v>
      </c>
      <c r="H18" s="849">
        <f>SUBTOTAL(9,H15:H17)</f>
        <v>7</v>
      </c>
      <c r="I18" s="850">
        <f>IF(ISNUMBER(H18/B18),H18/B18," - ")</f>
        <v>2.3333333333333335</v>
      </c>
    </row>
    <row r="19" spans="1:9" ht="14.25" thickTop="1" thickBot="1">
      <c r="A19" s="793" t="str">
        <f>Datos!A19</f>
        <v>TOTAL JURISDICCIONES</v>
      </c>
      <c r="B19" s="794">
        <f>Datos!AP19</f>
        <v>2</v>
      </c>
      <c r="C19" s="794">
        <f>Datos!AR19</f>
        <v>2</v>
      </c>
      <c r="D19" s="794">
        <f>SUBTOTAL(9,D8:D18)</f>
        <v>124</v>
      </c>
      <c r="E19" s="795">
        <f>IF(ISNUMBER(D19/B19),D19/B19," - ")</f>
        <v>62</v>
      </c>
      <c r="F19" s="794">
        <f>SUBTOTAL(9,F8:F18)</f>
        <v>283</v>
      </c>
      <c r="G19" s="795">
        <f>IF(ISNUMBER(F19/B19),F19/B19," - ")</f>
        <v>141.5</v>
      </c>
      <c r="H19" s="794">
        <f>SUBTOTAL(9,H8:H18)</f>
        <v>85</v>
      </c>
      <c r="I19" s="795">
        <f>IF(ISNUMBER(H19/B19),H19/B19," - ")</f>
        <v>42.5</v>
      </c>
    </row>
    <row r="22" spans="1:9">
      <c r="A22" s="391" t="str">
        <f>Criterios!A4</f>
        <v>Fecha Informe: 29 may. 2024</v>
      </c>
    </row>
    <row r="27" spans="1:9">
      <c r="A27" s="414"/>
    </row>
  </sheetData>
  <sheetProtection algorithmName="SHA-512" hashValue="edIFp0bs4Z/t4lVc3xyRLDHIJ0H3UerMm6w95HMKC1tTLuhMOD6PqC2J4f67fqnuAM9jJ0iYxDB9PWtBWgn5oQ==" saltValue="rKaXc6U18K4+QrvqZ7Ge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GRADO</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37</v>
      </c>
      <c r="D12" s="408">
        <f>IF(ISNUMBER(Datos!R12),Datos!R12," - ")</f>
        <v>542</v>
      </c>
    </row>
    <row r="13" spans="1:4" ht="14.25" thickTop="1" thickBot="1">
      <c r="A13" s="848" t="str">
        <f>Datos!A13</f>
        <v>TOTAL</v>
      </c>
      <c r="B13" s="849">
        <f>SUBTOTAL(9,B9:B12)</f>
        <v>92</v>
      </c>
      <c r="C13" s="853">
        <f>SUBTOTAL(9,C9:C12)</f>
        <v>37</v>
      </c>
      <c r="D13" s="851">
        <f>SUBTOTAL(9,D9:D12)</f>
        <v>544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8</v>
      </c>
      <c r="D16" s="408">
        <f>IF(ISNUMBER(Datos!R16),Datos!R16," - ")</f>
        <v>35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8</v>
      </c>
      <c r="D18" s="851">
        <f>SUBTOTAL(9,D15:D17)</f>
        <v>35</v>
      </c>
    </row>
    <row r="19" spans="1:4" ht="16.5" customHeight="1" thickTop="1" thickBot="1">
      <c r="A19" s="793" t="str">
        <f>Datos!A19</f>
        <v>TOTAL JURISDICCIONES</v>
      </c>
      <c r="B19" s="798">
        <f>SUBTOTAL(9,B8:B18)</f>
        <v>107</v>
      </c>
      <c r="C19" s="799">
        <f>SUBTOTAL(9,C8:C18)</f>
        <v>45</v>
      </c>
      <c r="D19" s="800">
        <f>SUBTOTAL(9,D8:D18)</f>
        <v>579</v>
      </c>
    </row>
    <row r="20" spans="1:4" ht="7.5" customHeight="1"/>
    <row r="21" spans="1:4" ht="6" customHeight="1"/>
    <row r="22" spans="1:4">
      <c r="A22" s="391" t="str">
        <f>Criterios!A4</f>
        <v>Fecha Informe: 29 may. 2024</v>
      </c>
    </row>
    <row r="27" spans="1:4">
      <c r="A27" s="414"/>
    </row>
  </sheetData>
  <sheetProtection algorithmName="SHA-512" hashValue="G+DS1jrlOt1ugpb71LeiMFvPIj+ayO6P5VZuChUlDOEsYcMmm5DRVN2iYhmZFwUitQarfxuxoN+hJv20nJKIWQ==" saltValue="dJkA9+4yCLQwkgJ+R1b1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GRADO</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0.1543026706231454</v>
      </c>
      <c r="C12" s="456">
        <f>IF(ISNUMBER(
   IF(J_V="SI",(Datos!J12-Datos!T12)/Datos!T12,(Datos!J12+Datos!Z12-(Datos!T12+Datos!AH12))/(Datos!T12+Datos!AH12))
     ),IF(J_V="SI",(Datos!J12-Datos!T12)/Datos!T12,(Datos!J12+Datos!Z12-(Datos!T12+Datos!AH12))/(Datos!T12+Datos!AH12))," - ")</f>
        <v>0.24705882352941178</v>
      </c>
      <c r="D12" s="456">
        <f>IF(ISNUMBER(
   IF(J_V="SI",(Datos!K12-Datos!U12)/Datos!U12,(Datos!K12+Datos!AA12-(Datos!U12+Datos!AI12))/(Datos!U12+Datos!AI12))
     ),IF(J_V="SI",(Datos!K12-Datos!U12)/Datos!U12,(Datos!K12+Datos!AA12-(Datos!U12+Datos!AI12))/(Datos!U12+Datos!AI12))," - ")</f>
        <v>1.2916666666666667</v>
      </c>
      <c r="E12" s="456">
        <f>IF(ISNUMBER(
   IF(J_V="SI",(Datos!L12-Datos!V12)/Datos!V12,(Datos!L12+Datos!AB12-(Datos!V12+Datos!AJ12))/(Datos!V12+Datos!AJ12))
     ),IF(J_V="SI",(Datos!L12-Datos!V12)/Datos!V12,(Datos!L12+Datos!AB12-(Datos!V12+Datos!AJ12))/(Datos!V12+Datos!AJ12))," - ")</f>
        <v>-0.15762273901808785</v>
      </c>
      <c r="F12" s="456">
        <f>IF(ISNUMBER((Datos!M12-Datos!W12)/Datos!W12),(Datos!M12-Datos!W12)/Datos!W12," - ")</f>
        <v>1.8787878787878789</v>
      </c>
      <c r="G12" s="457">
        <f>IF(ISNUMBER((Datos!N12-Datos!X12)/Datos!X12),(Datos!N12-Datos!X12)/Datos!X12," - ")</f>
        <v>1.1052631578947369</v>
      </c>
      <c r="H12" s="455">
        <f>IF(ISNUMBER(((NºAsuntos!G12/NºAsuntos!E12)-Datos!BD12)/Datos!BD12),((NºAsuntos!G12/NºAsuntos!E12)-Datos!BD12)/Datos!BD12," - ")</f>
        <v>0.83765723270440251</v>
      </c>
      <c r="I12" s="456">
        <f>IF(ISNUMBER(((NºAsuntos!I12/NºAsuntos!G12)-Datos!BE12)/Datos!BE12),((NºAsuntos!I12/NºAsuntos!G12)-Datos!BE12)/Datos!BE12," - ")</f>
        <v>-0.63241719520789286</v>
      </c>
      <c r="J12" s="461">
        <f>IF(ISNUMBER((('Resol  Asuntos'!D12/NºAsuntos!G12)-Datos!BF12)/Datos!BF12),(('Resol  Asuntos'!D12/NºAsuntos!G12)-Datos!BF12)/Datos!BF12," - ")</f>
        <v>-0.27272727272727271</v>
      </c>
      <c r="K12" s="462">
        <f>IF(ISNUMBER((((NºAsuntos!C12+NºAsuntos!E12)/NºAsuntos!G12)-Datos!BG12)/Datos!BG12),(((NºAsuntos!C12+NºAsuntos!E12)/NºAsuntos!G12)-Datos!BG12)/Datos!BG12," - ")</f>
        <v>-0.48273265196342113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0.15384615384615385</v>
      </c>
      <c r="C13" s="855">
        <f>IF(ISNUMBER(
   IF(J_V="SI",(Datos!J13-Datos!T13)/Datos!T13,(Datos!J13+Datos!Z13-(Datos!T13+Datos!AH13))/(Datos!T13+Datos!AH13))
     ),IF(J_V="SI",(Datos!J13-Datos!T13)/Datos!T13,(Datos!J13+Datos!Z13-(Datos!T13+Datos!AH13))/(Datos!T13+Datos!AH13))," - ")</f>
        <v>0.25294117647058822</v>
      </c>
      <c r="D13" s="855">
        <f>IF(ISNUMBER(
   IF(J_V="SI",(Datos!K13-Datos!U13)/Datos!U13,(Datos!K13+Datos!AA13-(Datos!U13+Datos!AI13))/(Datos!U13+Datos!AI13))
     ),IF(J_V="SI",(Datos!K13-Datos!U13)/Datos!U13,(Datos!K13+Datos!AA13-(Datos!U13+Datos!AI13))/(Datos!U13+Datos!AI13))," - ")</f>
        <v>1.3</v>
      </c>
      <c r="E13" s="855">
        <f>IF(ISNUMBER(
   IF(J_V="SI",(Datos!L13-Datos!V13)/Datos!V13,(Datos!L13+Datos!AB13-(Datos!V13+Datos!AJ13))/(Datos!V13+Datos!AJ13))
     ),IF(J_V="SI",(Datos!L13-Datos!V13)/Datos!V13,(Datos!L13+Datos!AB13-(Datos!V13+Datos!AJ13))/(Datos!V13+Datos!AJ13))," - ")</f>
        <v>-0.15721649484536082</v>
      </c>
      <c r="F13" s="856">
        <f>IF(ISNUMBER((Datos!M13-Datos!W13)/Datos!W13),(Datos!M13-Datos!W13)/Datos!W13," - ")</f>
        <v>1.9090909090909092</v>
      </c>
      <c r="G13" s="857">
        <f>IF(ISNUMBER((Datos!N13-Datos!X13)/Datos!X13),(Datos!N13-Datos!X13)/Datos!X13," - ")</f>
        <v>1.1052631578947369</v>
      </c>
      <c r="H13" s="857">
        <f>IF(ISNUMBER(((NºAsuntos!G13/NºAsuntos!E13)-Datos!BD13)/Datos!BD13),((NºAsuntos!G13/NºAsuntos!E13)-Datos!BD13)/Datos!BD13," - ")</f>
        <v>0.83568075117370888</v>
      </c>
      <c r="I13" s="857">
        <f>IF(ISNUMBER(((NºAsuntos!I13/NºAsuntos!G13)-Datos!BE13)/Datos!BE13),((NºAsuntos!I13/NºAsuntos!G13)-Datos!BE13)/Datos!BE13," - ")</f>
        <v>-0.63357238906320035</v>
      </c>
      <c r="J13" s="857">
        <f>IF(ISNUMBER((('Resol  Asuntos'!D13/NºAsuntos!G13)-Datos!BF13)/Datos!BF13),(('Resol  Asuntos'!D13/NºAsuntos!G13)-Datos!BF13)/Datos!BF13," - ")</f>
        <v>-0.26773455377574368</v>
      </c>
      <c r="K13" s="857">
        <f>IF(ISNUMBER((((NºAsuntos!C13+NºAsuntos!E13)/NºAsuntos!G13)-Datos!BG13)/Datos!BG13),(((NºAsuntos!C13+NºAsuntos!E13)/NºAsuntos!G13)-Datos!BG13)/Datos!BG13," - ")</f>
        <v>-0.48390961999315302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0.47773279352226722</v>
      </c>
      <c r="C16" s="456">
        <f>IF(ISNUMBER(
   IF(D_I="SI",(Datos!J16-Datos!T16)/Datos!T16,(Datos!J16+Datos!AD16-(Datos!T16+Datos!AL16))/(Datos!T16+Datos!AL16))
     ),IF(D_I="SI",(Datos!J16-Datos!T16)/Datos!T16,(Datos!J16+Datos!AD16-(Datos!T16+Datos!AL16))/(Datos!T16+Datos!AL16))," - ")</f>
        <v>0.42268041237113402</v>
      </c>
      <c r="D16" s="456">
        <f>IF(ISNUMBER(
   IF(D_I="SI",(Datos!K16-Datos!U16)/Datos!U16,(Datos!K16+Datos!AE16-(Datos!U16+Datos!AM16))/(Datos!U16+Datos!AM16))
     ),IF(D_I="SI",(Datos!K16-Datos!U16)/Datos!U16,(Datos!K16+Datos!AE16-(Datos!U16+Datos!AM16))/(Datos!U16+Datos!AM16))," - ")</f>
        <v>1.4326241134751774</v>
      </c>
      <c r="E16" s="456">
        <f>IF(ISNUMBER(
   IF(D_I="SI",(Datos!L16-Datos!V16)/Datos!V16,(Datos!L16+Datos!AF16-(Datos!V16+Datos!AN16))/(Datos!V16+Datos!AN16))
     ),IF(D_I="SI",(Datos!L16-Datos!V16)/Datos!V16,(Datos!L16+Datos!AF16-(Datos!V16+Datos!AN16))/(Datos!V16+Datos!AN16))," - ")</f>
        <v>-6.6666666666666671E-3</v>
      </c>
      <c r="F16" s="456">
        <f>IF(ISNUMBER((Datos!M16-Datos!W16)/Datos!W16),(Datos!M16-Datos!W16)/Datos!W16," - ")</f>
        <v>0.625</v>
      </c>
      <c r="G16" s="457">
        <f>IF(ISNUMBER((Datos!N16-Datos!X16)/Datos!X16),(Datos!N16-Datos!X16)/Datos!X16," - ")</f>
        <v>0.43119266055045874</v>
      </c>
      <c r="H16" s="455">
        <f>IF(ISNUMBER(((NºAsuntos!G16/NºAsuntos!E16)-Datos!BD16)/Datos!BD16),((NºAsuntos!G16/NºAsuntos!E16)-Datos!BD16)/Datos!BD16," - ")</f>
        <v>0.70988796381950869</v>
      </c>
      <c r="I16" s="456">
        <f>IF(ISNUMBER(((NºAsuntos!I16/NºAsuntos!G16)-Datos!BE16)/Datos!BE16),((NºAsuntos!I16/NºAsuntos!G16)-Datos!BE16)/Datos!BE16," - ")</f>
        <v>-0.59166180758017495</v>
      </c>
      <c r="J16" s="461">
        <f>IF(ISNUMBER((('Resol  Asuntos'!D16/NºAsuntos!G16)-Datos!BF16)/Datos!BF16),(('Resol  Asuntos'!D16/NºAsuntos!G16)-Datos!BF16)/Datos!BF16," - ")</f>
        <v>-0.33199708454810489</v>
      </c>
      <c r="K16" s="462">
        <f>IF(ISNUMBER((((NºAsuntos!C16+NºAsuntos!E16)/NºAsuntos!G16)-Datos!BG16)/Datos!BG16),(((NºAsuntos!C16+NºAsuntos!E16)/NºAsuntos!G16)-Datos!BG16)/Datos!BG16," - ")</f>
        <v>-0.40249102556474486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1.75</v>
      </c>
      <c r="C17" s="456">
        <f>IF(ISNUMBER(
   IF(D_I="SI",(Datos!J17-Datos!T17)/Datos!T17,(Datos!J17+Datos!AD17-(Datos!T17+Datos!AL17))/(Datos!T17+Datos!AL17))
     ),IF(D_I="SI",(Datos!J17-Datos!T17)/Datos!T17,(Datos!J17+Datos!AD17-(Datos!T17+Datos!AL17))/(Datos!T17+Datos!AL17))," - ")</f>
        <v>-0.27777777777777779</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1.21875</v>
      </c>
      <c r="F17" s="456">
        <f>IF(ISNUMBER((Datos!M17-Datos!W17)/Datos!W17),(Datos!M17-Datos!W17)/Datos!W17," - ")</f>
        <v>1</v>
      </c>
      <c r="G17" s="457">
        <f>IF(ISNUMBER((Datos!N17-Datos!X17)/Datos!X17),(Datos!N17-Datos!X17)/Datos!X17," - ")</f>
        <v>-0.125</v>
      </c>
      <c r="H17" s="455">
        <f>IF(ISNUMBER(((NºAsuntos!G17/NºAsuntos!E17)-Datos!BD17)/Datos!BD17),((NºAsuntos!G17/NºAsuntos!E17)-Datos!BD17)/Datos!BD17," - ")</f>
        <v>0.1076923076923077</v>
      </c>
      <c r="I17" s="456">
        <f>IF(ISNUMBER(((NºAsuntos!I17/NºAsuntos!G17)-Datos!BE17)/Datos!BE17),((NºAsuntos!I17/NºAsuntos!G17)-Datos!BE17)/Datos!BE17," - ")</f>
        <v>1.7734374999999998</v>
      </c>
      <c r="J17" s="461">
        <f>IF(ISNUMBER((('Resol  Asuntos'!D17/NºAsuntos!G17)-Datos!BF17)/Datos!BF17),(('Resol  Asuntos'!D17/NºAsuntos!G17)-Datos!BF17)/Datos!BF17," - ")</f>
        <v>1.4999999999999998</v>
      </c>
      <c r="K17" s="462">
        <f>IF(ISNUMBER((((NºAsuntos!C17+NºAsuntos!E17)/NºAsuntos!G17)-Datos!BG17)/Datos!BG17),(((NºAsuntos!C17+NºAsuntos!E17)/NºAsuntos!G17)-Datos!BG17)/Datos!BG17," - ")</f>
        <v>1.3511904761904761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0.59040590405904059</v>
      </c>
      <c r="C18" s="855">
        <f>IF(ISNUMBER(
   IF(Criterios!B14="SI",(Datos!J18-Datos!T18)/Datos!T18,(Datos!J18+Datos!AD18-(Datos!T18+Datos!AL18))/(Datos!T18+Datos!AL18))
     ),IF(Criterios!B14="SI",(Datos!J18-Datos!T18)/Datos!T18,(Datos!J18+Datos!AD18-(Datos!T18+Datos!AL18))/(Datos!T18+Datos!AL18))," - ")</f>
        <v>0.3632075471698113</v>
      </c>
      <c r="D18" s="855">
        <f>IF(ISNUMBER(
   IF(Criterios!B14="SI",(Datos!K18-Datos!U18)/Datos!U18,(Datos!K18+Datos!AE18-(Datos!U18+Datos!AM18))/(Datos!U18+Datos!AM18))
     ),IF(Criterios!B14="SI",(Datos!K18-Datos!U18)/Datos!U18,(Datos!K18+Datos!AE18-(Datos!U18+Datos!AM18))/(Datos!U18+Datos!AM18))," - ")</f>
        <v>1.3245033112582782</v>
      </c>
      <c r="E18" s="855">
        <f>IF(ISNUMBER(
   IF(Criterios!B14="SI",(Datos!L18-Datos!V18)/Datos!V18,(Datos!L18+Datos!AF18-(Datos!V18+Datos!AN18))/(Datos!V18+Datos!AN18))
     ),IF(Criterios!B14="SI",(Datos!L18-Datos!V18)/Datos!V18,(Datos!L18+Datos!AF18-(Datos!V18+Datos!AN18))/(Datos!V18+Datos!AN18))," - ")</f>
        <v>0.11144578313253012</v>
      </c>
      <c r="F18" s="856">
        <f>IF(ISNUMBER((Datos!M18-Datos!W18)/Datos!W18),(Datos!M18-Datos!W18)/Datos!W18," - ")</f>
        <v>0.6470588235294118</v>
      </c>
      <c r="G18" s="857">
        <f>IF(ISNUMBER((Datos!N18-Datos!X18)/Datos!X18),(Datos!N18-Datos!X18)/Datos!X18," - ")</f>
        <v>0.39316239316239315</v>
      </c>
      <c r="H18" s="857">
        <f>IF(ISNUMBER(((NºAsuntos!G18/NºAsuntos!E18)-Datos!BD18)/Datos!BD18),((NºAsuntos!G18/NºAsuntos!E18)-Datos!BD18)/Datos!BD18," - ")</f>
        <v>0.70517197919292363</v>
      </c>
      <c r="I18" s="857">
        <f>IF(ISNUMBER(((NºAsuntos!I18/NºAsuntos!G18)-Datos!BE18)/Datos!BE18),((NºAsuntos!I18/NºAsuntos!G18)-Datos!BE18)/Datos!BE18," - ")</f>
        <v>-0.52185665739882603</v>
      </c>
      <c r="J18" s="857">
        <f>IF(ISNUMBER((('Resol  Asuntos'!D18/NºAsuntos!G18)-Datos!BF18)/Datos!BF18),(('Resol  Asuntos'!D18/NºAsuntos!G18)-Datos!BF18)/Datos!BF18," - ")</f>
        <v>-0.29143623261270324</v>
      </c>
      <c r="K18" s="857">
        <f>IF(ISNUMBER((((NºAsuntos!C18+NºAsuntos!E18)/NºAsuntos!G18)-Datos!BG18)/Datos!BG18),(((NºAsuntos!C18+NºAsuntos!E18)/NºAsuntos!G18)-Datos!BG18)/Datos!BG18," - ")</f>
        <v>-0.35870892392631532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0.34811165845648606</v>
      </c>
      <c r="C19" s="802">
        <f>IF(ISNUMBER(
   IF(J_V="SI",(Datos!J19-Datos!T19)/Datos!T19,(Datos!J19+Datos!Z19-(Datos!T19+Datos!AH19))/(Datos!T19+Datos!AH19))
     ),IF(J_V="SI",(Datos!J19-Datos!T19)/Datos!T19,(Datos!J19+Datos!Z19-(Datos!T19+Datos!AH19))/(Datos!T19+Datos!AH19))," - ")</f>
        <v>0.31413612565445026</v>
      </c>
      <c r="D19" s="802">
        <f>IF(ISNUMBER(
   IF(J_V="SI",(Datos!K19-Datos!U19)/Datos!U19,(Datos!K19+Datos!AA19-(Datos!U19+Datos!AI19))/(Datos!U19+Datos!AI19))
     ),IF(J_V="SI",(Datos!K19-Datos!U19)/Datos!U19,(Datos!K19+Datos!AA19-(Datos!U19+Datos!AI19))/(Datos!U19+Datos!AI19))," - ")</f>
        <v>1.3136531365313653</v>
      </c>
      <c r="E19" s="802">
        <f>IF(ISNUMBER(
   IF(J_V="SI",(Datos!L19-Datos!V19)/Datos!V19,(Datos!L19+Datos!AB19-(Datos!V19+Datos!AJ19))/(Datos!V19+Datos!AJ19))
     ),IF(J_V="SI",(Datos!L19-Datos!V19)/Datos!V19,(Datos!L19+Datos!AB19-(Datos!V19+Datos!AJ19))/(Datos!V19+Datos!AJ19))," - ")</f>
        <v>-3.3333333333333333E-2</v>
      </c>
      <c r="F19" s="803">
        <f>IF(ISNUMBER((Datos!M19-Datos!W19)/Datos!W19),(Datos!M19-Datos!W19)/Datos!W19," - ")</f>
        <v>1.48</v>
      </c>
      <c r="G19" s="804">
        <f>IF(ISNUMBER((Datos!N19-Datos!X19)/Datos!X19),(Datos!N19-Datos!X19)/Datos!X19," - ")</f>
        <v>0.62643678160919536</v>
      </c>
      <c r="H19" s="805">
        <f>IF(ISNUMBER((Tasas!B19-Datos!BD19)/Datos!BD19),(Tasas!B19-Datos!BD19)/Datos!BD19," - ")</f>
        <v>0.76058864174299112</v>
      </c>
      <c r="I19" s="806">
        <f>IF(ISNUMBER((Tasas!C19-Datos!BE19)/Datos!BE19),(Tasas!C19-Datos!BE19)/Datos!BE19," - ")</f>
        <v>-0.58219032429558748</v>
      </c>
      <c r="J19" s="807">
        <f>IF(ISNUMBER((Tasas!D19-Datos!BF19)/Datos!BF19),(Tasas!D19-Datos!BF19)/Datos!BF19," - ")</f>
        <v>-0.27574464416569688</v>
      </c>
      <c r="K19" s="807">
        <f>IF(ISNUMBER((Tasas!E19-Datos!BG19)/Datos!BG19),(Tasas!E19-Datos!BG19)/Datos!BG19," - ")</f>
        <v>-0.42298388848922597</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0LebuJDMrV9pUF0Awa76fDBek2xVHFEtxzxTZuMTN8d04nT5aXEn2ssbcxeG66ZZjnqOpn++A4+gy4oZ0x/HA==" saltValue="CyytOJEciHyNsNXfysnc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GRADO</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1.2971698113207548</v>
      </c>
      <c r="C12" s="443">
        <f>IF(ISNUMBER(NºAsuntos!I12/NºAsuntos!G12),NºAsuntos!I12/NºAsuntos!G12," - ")</f>
        <v>1.1854545454545455</v>
      </c>
      <c r="D12" s="444">
        <f>IF(ISNUMBER('Resol  Asuntos'!D12/NºAsuntos!G12),'Resol  Asuntos'!D12/NºAsuntos!G12," - ")</f>
        <v>0.34545454545454546</v>
      </c>
      <c r="E12" s="445">
        <f>IF(ISNUMBER((NºAsuntos!C12+NºAsuntos!E12)/NºAsuntos!G12),(NºAsuntos!C12+NºAsuntos!E12)/NºAsuntos!G12," - ")</f>
        <v>2.1854545454545455</v>
      </c>
      <c r="G12" s="463"/>
    </row>
    <row r="13" spans="1:7" ht="14.25" thickTop="1" thickBot="1">
      <c r="A13" s="848" t="str">
        <f>Datos!A13</f>
        <v>TOTAL</v>
      </c>
      <c r="B13" s="858">
        <f>IF(ISNUMBER(NºAsuntos!G13/NºAsuntos!E13),NºAsuntos!G13/NºAsuntos!E13," - ")</f>
        <v>1.295774647887324</v>
      </c>
      <c r="C13" s="859">
        <f>IF(ISNUMBER(NºAsuntos!I13/NºAsuntos!G13),NºAsuntos!I13/NºAsuntos!G13," - ")</f>
        <v>1.1847826086956521</v>
      </c>
      <c r="D13" s="860">
        <f>IF(ISNUMBER('Resol  Asuntos'!D13/NºAsuntos!G13),'Resol  Asuntos'!D13/NºAsuntos!G13," - ")</f>
        <v>0.34782608695652173</v>
      </c>
      <c r="E13" s="861">
        <f>IF(ISNUMBER((NºAsuntos!C13+NºAsuntos!E13)/NºAsuntos!G13),(NºAsuntos!C13+NºAsuntos!E13)/NºAsuntos!G13," - ")</f>
        <v>2.1847826086956523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1.2427536231884058</v>
      </c>
      <c r="C16" s="443">
        <f>IF(ISNUMBER(NºAsuntos!I16/NºAsuntos!G16),NºAsuntos!I16/NºAsuntos!G16," - ")</f>
        <v>0.86880466472303208</v>
      </c>
      <c r="D16" s="444">
        <f>IF(ISNUMBER('Resol  Asuntos'!D16/NºAsuntos!G16),'Resol  Asuntos'!D16/NºAsuntos!G16," - ")</f>
        <v>7.5801749271137031E-2</v>
      </c>
      <c r="E16" s="445">
        <f>IF(ISNUMBER((NºAsuntos!C16+NºAsuntos!E16)/NºAsuntos!G16),(NºAsuntos!C16+NºAsuntos!E16)/NºAsuntos!G16," - ")</f>
        <v>1.8688046647230321</v>
      </c>
      <c r="G16" s="463"/>
    </row>
    <row r="17" spans="1:7" ht="13.5" thickBot="1">
      <c r="A17" s="402" t="str">
        <f>Datos!A17</f>
        <v>Jdos. Violencia contra la mujer</v>
      </c>
      <c r="B17" s="442">
        <f>IF(ISNUMBER(NºAsuntos!G17/NºAsuntos!E17),NºAsuntos!G17/NºAsuntos!E17," - ")</f>
        <v>0.61538461538461542</v>
      </c>
      <c r="C17" s="443">
        <f>IF(ISNUMBER(NºAsuntos!I17/NºAsuntos!G17),NºAsuntos!I17/NºAsuntos!G17," - ")</f>
        <v>8.875</v>
      </c>
      <c r="D17" s="444">
        <f>IF(ISNUMBER('Resol  Asuntos'!D17/NºAsuntos!G17),'Resol  Asuntos'!D17/NºAsuntos!G17," - ")</f>
        <v>0.25</v>
      </c>
      <c r="E17" s="445">
        <f>IF(ISNUMBER((NºAsuntos!C17+NºAsuntos!E17)/NºAsuntos!G17),(NºAsuntos!C17+NºAsuntos!E17)/NºAsuntos!G17," - ")</f>
        <v>9.875</v>
      </c>
      <c r="G17" s="463"/>
    </row>
    <row r="18" spans="1:7" ht="14.25" thickTop="1" thickBot="1">
      <c r="A18" s="848" t="str">
        <f>Datos!A18</f>
        <v>TOTAL</v>
      </c>
      <c r="B18" s="858">
        <f>IF(ISNUMBER(NºAsuntos!G18/NºAsuntos!E18),NºAsuntos!G18/NºAsuntos!E18," - ")</f>
        <v>1.2145328719723183</v>
      </c>
      <c r="C18" s="859">
        <f>IF(ISNUMBER(NºAsuntos!I18/NºAsuntos!G18),NºAsuntos!I18/NºAsuntos!G18," - ")</f>
        <v>1.0512820512820513</v>
      </c>
      <c r="D18" s="862">
        <f>IF(ISNUMBER('Resol  Asuntos'!D18/NºAsuntos!G18),'Resol  Asuntos'!D18/NºAsuntos!G18," - ")</f>
        <v>7.9772079772079771E-2</v>
      </c>
      <c r="E18" s="861">
        <f>IF(ISNUMBER((NºAsuntos!C18+NºAsuntos!E18)/NºAsuntos!G18),(NºAsuntos!C18+NºAsuntos!E18)/NºAsuntos!G18," - ")</f>
        <v>2.0512820512820511</v>
      </c>
      <c r="G18" s="463"/>
    </row>
    <row r="19" spans="1:7" ht="15.75" customHeight="1" thickTop="1" thickBot="1">
      <c r="A19" s="793" t="str">
        <f>Datos!A19</f>
        <v>TOTAL JURISDICCIONES</v>
      </c>
      <c r="B19" s="808">
        <f>IF(ISNUMBER(NºAsuntos!G19/NºAsuntos!E19),NºAsuntos!G19/NºAsuntos!E19," - ")</f>
        <v>1.249003984063745</v>
      </c>
      <c r="C19" s="809">
        <f>IF(ISNUMBER(NºAsuntos!I19/NºAsuntos!G19),NºAsuntos!I19/NºAsuntos!G19," - ")</f>
        <v>1.1100478468899522</v>
      </c>
      <c r="D19" s="810">
        <f>IF(ISNUMBER('Resol  Asuntos'!D19/NºAsuntos!G19),'Resol  Asuntos'!D19/NºAsuntos!G19," - ")</f>
        <v>0.19776714513556617</v>
      </c>
      <c r="E19" s="811">
        <f>IF(ISNUMBER((NºAsuntos!C19+NºAsuntos!E19)/NºAsuntos!G19),(NºAsuntos!C19+NºAsuntos!E19)/NºAsuntos!G19," - ")</f>
        <v>2.1100478468899522</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0PNkZi9RiaL2dw/Ic0p/FmImRk3csuKZxyY4K+RUh7MEG9uAAjPuXW+mC7+IYA/1HsP0GijBiTq9Y9sUjwfsA==" saltValue="bpr0bbOaBUCwXzMxQ9Q8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GRADO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2</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95</v>
      </c>
      <c r="AJ12" s="229" t="str">
        <f>IF(ISNUMBER(Datos!BW12),Datos!BW12," - ")</f>
        <v xml:space="preserve"> - </v>
      </c>
      <c r="AK12" s="228" t="str">
        <f>IF(ISNUMBER(Datos!BX12),Datos!BX12," - ")</f>
        <v xml:space="preserve"> - </v>
      </c>
      <c r="AL12" s="243">
        <f>IF(ISNUMBER(NºAsuntos!G12/NºAsuntos!E12),NºAsuntos!G12/NºAsuntos!E12," - ")</f>
        <v>1.2971698113207548</v>
      </c>
      <c r="AM12" s="260">
        <f>IF(ISNUMBER(((NºAsuntos!I12/NºAsuntos!G12)*11)/factor_trimestre),((NºAsuntos!I12/NºAsuntos!G12)*11)/factor_trimestre," - ")</f>
        <v>3.5563636363636366</v>
      </c>
      <c r="AN12" s="244">
        <f>IF(ISNUMBER('Resol  Asuntos'!D12/NºAsuntos!G12),'Resol  Asuntos'!D12/NºAsuntos!G12," - ")</f>
        <v>0.34545454545454546</v>
      </c>
      <c r="AO12" s="245">
        <f>IF(ISNUMBER((NºAsuntos!C12+NºAsuntos!E12)/NºAsuntos!G12),(NºAsuntos!C12+NºAsuntos!E12)/NºAsuntos!G12," - ")</f>
        <v>2.1854545454545455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v>
      </c>
      <c r="G13" s="866">
        <f t="shared" si="3"/>
        <v>1</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37</v>
      </c>
      <c r="Y13" s="868">
        <f t="shared" si="4"/>
        <v>38</v>
      </c>
      <c r="Z13" s="868">
        <f t="shared" si="4"/>
        <v>0</v>
      </c>
      <c r="AA13" s="868">
        <f t="shared" si="4"/>
        <v>1</v>
      </c>
      <c r="AB13" s="868">
        <f t="shared" si="4"/>
        <v>544</v>
      </c>
      <c r="AC13" s="868">
        <f t="shared" si="4"/>
        <v>3</v>
      </c>
      <c r="AD13" s="868">
        <f t="shared" si="4"/>
        <v>0</v>
      </c>
      <c r="AE13" s="872">
        <f t="shared" si="4"/>
        <v>0</v>
      </c>
      <c r="AF13" s="865">
        <f t="shared" si="4"/>
        <v>0</v>
      </c>
      <c r="AG13" s="873">
        <f t="shared" si="4"/>
        <v>0</v>
      </c>
      <c r="AH13" s="870">
        <f t="shared" si="4"/>
        <v>0</v>
      </c>
      <c r="AI13" s="865">
        <f t="shared" si="4"/>
        <v>96</v>
      </c>
      <c r="AJ13" s="867">
        <f t="shared" si="4"/>
        <v>0</v>
      </c>
      <c r="AK13" s="870">
        <f>SUBTOTAL(9,AK9:AK12)</f>
        <v>0</v>
      </c>
      <c r="AL13" s="874">
        <f>IF(ISNUMBER(NºAsuntos!G13/NºAsuntos!E13),NºAsuntos!G13/NºAsuntos!E13," - ")</f>
        <v>1.295774647887324</v>
      </c>
      <c r="AM13" s="874">
        <f>IF(ISNUMBER(((NºAsuntos!I13/NºAsuntos!G13)*11)/factor_trimestre),((NºAsuntos!I13/NºAsuntos!G13)*11)/factor_trimestre," - ")</f>
        <v>3.5543478260869565</v>
      </c>
      <c r="AN13" s="875">
        <f>IF(ISNUMBER('Resol  Asuntos'!D13/NºAsuntos!G13),'Resol  Asuntos'!D13/NºAsuntos!G13," - ")</f>
        <v>0.34782608695652173</v>
      </c>
      <c r="AO13" s="876">
        <f>IF(ISNUMBER((NºAsuntos!C13+NºAsuntos!E13)/NºAsuntos!G13),(NºAsuntos!C13+NºAsuntos!E13)/NºAsuntos!G13," - ")</f>
        <v>2.1847826086956523</v>
      </c>
      <c r="AP13" s="877" t="str">
        <f t="shared" si="2"/>
        <v xml:space="preserve"> - </v>
      </c>
      <c r="AQ13" s="877">
        <f>IF(ISNUMBER((H13-W13+K13)/(F13)),(H13-W13+K13)/(F13)," - ")</f>
        <v>-1</v>
      </c>
      <c r="AR13" s="878">
        <f>IF(ISNUMBER((Datos!P13-Datos!Q13)/(Datos!R13-Datos!P13+Datos!Q13)),(Datos!P13-Datos!Q13)/(Datos!R13-Datos!P13+Datos!Q13)," - ")</f>
        <v>0.11247443762781185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365</v>
      </c>
      <c r="G16" s="333">
        <f>IF(ISNUMBER(IF(D_I="SI",Datos!I16,Datos!I16+Datos!AC16)),IF(D_I="SI",Datos!I16,Datos!I16+Datos!AC16)," - ")</f>
        <v>365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343</v>
      </c>
      <c r="X16" s="226">
        <f>IF(ISNUMBER(Datos!Q16),Datos!Q16," - ")</f>
        <v>8</v>
      </c>
      <c r="Y16" s="334">
        <f t="shared" ref="Y16:Y17" si="7">SUM(W16:X16)</f>
        <v>351</v>
      </c>
      <c r="Z16" s="335" t="str">
        <f>IF(ISNUMBER(Datos!CC16),Datos!CC16," - ")</f>
        <v xml:space="preserve"> - </v>
      </c>
      <c r="AA16" s="332">
        <f>IF(ISNUMBER(IF(D_I="SI",Datos!L16,Datos!L16+Datos!AF16)),IF(D_I="SI",Datos!L16,Datos!L16+Datos!AF16)," - ")</f>
        <v>298</v>
      </c>
      <c r="AB16" s="334">
        <f>IF(ISNUMBER(Datos!R16),Datos!R16," - ")</f>
        <v>35</v>
      </c>
      <c r="AC16" s="334">
        <f t="shared" si="6"/>
        <v>333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1.2427536231884058</v>
      </c>
      <c r="AM16" s="260">
        <f>IF(ISNUMBER(((NºAsuntos!I16/NºAsuntos!G16)*11)/factor_trimestre),((NºAsuntos!I16/NºAsuntos!G16)*11)/factor_trimestre," - ")</f>
        <v>2.6064139941690962</v>
      </c>
      <c r="AN16" s="244">
        <f>IF(ISNUMBER('Resol  Asuntos'!D16/NºAsuntos!G16),'Resol  Asuntos'!D16/NºAsuntos!G16," - ")</f>
        <v>7.5801749271137031E-2</v>
      </c>
      <c r="AO16" s="245">
        <f>IF(ISNUMBER((NºAsuntos!C16+NºAsuntos!E16)/NºAsuntos!G16),(NºAsuntos!C16+NºAsuntos!E16)/NºAsuntos!G16," - ")</f>
        <v>1.8688046647230321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71</v>
      </c>
      <c r="AB17" s="334">
        <f>IF(ISNUMBER(Datos!R17),Datos!R17," - ")</f>
        <v>0</v>
      </c>
      <c r="AC17" s="334">
        <f t="shared" si="6"/>
        <v>71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0.61538461538461542</v>
      </c>
      <c r="AM17" s="260">
        <f>IF(ISNUMBER(((NºAsuntos!I17/NºAsuntos!G17)*11)/factor_trimestre),((NºAsuntos!I17/NºAsuntos!G17)*11)/factor_trimestre," - ")</f>
        <v>26.625</v>
      </c>
      <c r="AN17" s="244">
        <f>IF(ISNUMBER('Resol  Asuntos'!D17/NºAsuntos!G17),'Resol  Asuntos'!D17/NºAsuntos!G17," - ")</f>
        <v>0.25</v>
      </c>
      <c r="AO17" s="245">
        <f>IF(ISNUMBER((NºAsuntos!C17+NºAsuntos!E17)/NºAsuntos!G17),(NºAsuntos!C17+NºAsuntos!E17)/NºAsuntos!G17," - ")</f>
        <v>9.875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365</v>
      </c>
      <c r="G18" s="866">
        <f>SUBTOTAL(9,G15:G17)</f>
        <v>431</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351</v>
      </c>
      <c r="X18" s="867">
        <f t="shared" si="11"/>
        <v>8</v>
      </c>
      <c r="Y18" s="868">
        <f t="shared" si="11"/>
        <v>359</v>
      </c>
      <c r="Z18" s="868">
        <f t="shared" si="11"/>
        <v>0</v>
      </c>
      <c r="AA18" s="868">
        <f t="shared" si="11"/>
        <v>369</v>
      </c>
      <c r="AB18" s="868">
        <f t="shared" si="11"/>
        <v>35</v>
      </c>
      <c r="AC18" s="868">
        <f t="shared" si="11"/>
        <v>404</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1.2145328719723183</v>
      </c>
      <c r="AM18" s="874">
        <f>IF(ISNUMBER(((NºAsuntos!I18/NºAsuntos!G18)*11)/factor_trimestre),((NºAsuntos!I18/NºAsuntos!G18)*11)/factor_trimestre," - ")</f>
        <v>3.1538461538461537</v>
      </c>
      <c r="AN18" s="875">
        <f>IF(ISNUMBER('Resol  Asuntos'!D18/NºAsuntos!G18),'Resol  Asuntos'!D18/NºAsuntos!G18," - ")</f>
        <v>7.9772079772079771E-2</v>
      </c>
      <c r="AO18" s="876">
        <f>IF(ISNUMBER((NºAsuntos!C18+NºAsuntos!E18)/NºAsuntos!G18),(NºAsuntos!C18+NºAsuntos!E18)/NºAsuntos!G18," - ")</f>
        <v>2.0512820512820511</v>
      </c>
      <c r="AP18" s="877" t="str">
        <f t="shared" si="2"/>
        <v xml:space="preserve"> - </v>
      </c>
      <c r="AQ18" s="877">
        <f>IF(ISNUMBER((H18-W18+K18)/(F18)),(H18-W18+K18)/(F18)," - ")</f>
        <v>-0.9616438356164384</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366</v>
      </c>
      <c r="G19" s="821">
        <f t="shared" si="13"/>
        <v>432</v>
      </c>
      <c r="H19" s="820">
        <f t="shared" si="13"/>
        <v>0</v>
      </c>
      <c r="I19" s="822">
        <f t="shared" si="13"/>
        <v>0</v>
      </c>
      <c r="J19" s="822">
        <f t="shared" si="13"/>
        <v>0</v>
      </c>
      <c r="K19" s="881">
        <f t="shared" si="13"/>
        <v>0</v>
      </c>
      <c r="L19" s="822">
        <f t="shared" si="13"/>
        <v>107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352</v>
      </c>
      <c r="X19" s="821">
        <f t="shared" si="14"/>
        <v>45</v>
      </c>
      <c r="Y19" s="828">
        <f t="shared" si="14"/>
        <v>397</v>
      </c>
      <c r="Z19" s="828">
        <f t="shared" si="14"/>
        <v>0</v>
      </c>
      <c r="AA19" s="828">
        <f t="shared" si="14"/>
        <v>370</v>
      </c>
      <c r="AB19" s="828">
        <f t="shared" si="14"/>
        <v>579</v>
      </c>
      <c r="AC19" s="828">
        <f t="shared" si="14"/>
        <v>407</v>
      </c>
      <c r="AD19" s="828">
        <f t="shared" si="14"/>
        <v>0</v>
      </c>
      <c r="AE19" s="830">
        <f t="shared" si="14"/>
        <v>0</v>
      </c>
      <c r="AF19" s="831">
        <f t="shared" si="14"/>
        <v>0</v>
      </c>
      <c r="AG19" s="832">
        <f t="shared" si="14"/>
        <v>0</v>
      </c>
      <c r="AH19" s="830">
        <f t="shared" si="14"/>
        <v>0</v>
      </c>
      <c r="AI19" s="820">
        <f t="shared" si="14"/>
        <v>124</v>
      </c>
      <c r="AJ19" s="820">
        <f t="shared" si="14"/>
        <v>0</v>
      </c>
      <c r="AK19" s="830">
        <f t="shared" si="14"/>
        <v>0</v>
      </c>
      <c r="AL19" s="884">
        <f>IF(ISNUMBER(NºAsuntos!G19/NºAsuntos!E19),NºAsuntos!G19/NºAsuntos!E19," - ")</f>
        <v>1.249003984063745</v>
      </c>
      <c r="AM19" s="885">
        <f>IF(ISNUMBER(((NºAsuntos!I19/NºAsuntos!G19)*11)/factor_trimestre),((NºAsuntos!I19/NºAsuntos!G19)*11)/factor_trimestre," - ")</f>
        <v>3.330143540669857</v>
      </c>
      <c r="AN19" s="885">
        <f>IF(ISNUMBER('Resol  Asuntos'!D19/NºAsuntos!G19),'Resol  Asuntos'!D19/NºAsuntos!G19," - ")</f>
        <v>0.19776714513556617</v>
      </c>
      <c r="AO19" s="886">
        <f>IF(ISNUMBER((NºAsuntos!C19+NºAsuntos!E19)/NºAsuntos!G19),(NºAsuntos!C19+NºAsuntos!E19)/NºAsuntos!G19," - ")</f>
        <v>2.1100478468899522</v>
      </c>
      <c r="AP19" s="887" t="str">
        <f t="shared" si="2"/>
        <v xml:space="preserve"> - </v>
      </c>
      <c r="AQ19" s="888">
        <f>IF(OR(ISNUMBER(FIND("01",Criterios!A8,1)),ISNUMBER(FIND("02",Criterios!A8,1)),ISNUMBER(FIND("03",Criterios!A8,1)),ISNUMBER(FIND("04",Criterios!A8,1))),(I19-W19+K19)/(F19-K19),(H19-W19+K19)/(F19-K19))</f>
        <v>-0.96174863387978138</v>
      </c>
      <c r="AR19" s="889">
        <f>IF(ISNUMBER((Datos!P19-Datos!Q19)/(Datos!R19-Datos!P19+Datos!Q19)),(Datos!P19-Datos!Q19)/(Datos!R19-Datos!P19+Datos!Q19)," - ")</f>
        <v>0.11992263056092843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210.15549798502377</v>
      </c>
      <c r="G21" s="253">
        <f>IF(ISNUMBER(STDEV(G8:G18)),STDEV(G8:G18),"-")</f>
        <v>208.59338436297543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188.27692370548229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43.486396340311607</v>
      </c>
      <c r="AJ21" s="252">
        <f t="shared" si="18"/>
        <v>0</v>
      </c>
      <c r="AK21" s="254">
        <f t="shared" si="18"/>
        <v>0</v>
      </c>
      <c r="AL21" s="249">
        <f t="shared" si="18"/>
        <v>0.2663961436611092</v>
      </c>
      <c r="AM21" s="250">
        <f t="shared" si="18"/>
        <v>9.5804725847361301</v>
      </c>
      <c r="AN21" s="250">
        <f t="shared" si="18"/>
        <v>0.34080286909551138</v>
      </c>
      <c r="AO21" s="251">
        <f t="shared" si="18"/>
        <v>3.1934908615787103</v>
      </c>
      <c r="AP21" s="291" t="str">
        <f t="shared" si="18"/>
        <v>-</v>
      </c>
      <c r="AQ21" s="292">
        <f t="shared" si="18"/>
        <v>2.7121903935922335E-2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6PflItvTjGMSAOcUjniXbthwaPCKrkGEE3KuIeiDuRJ/C7nT1exJsU5VBRULjMvUVEIUtXcDCg9LUFUOUbn90Q==" saltValue="TfP16DtQQpv0rHz8faqgT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GRADO</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1.8787878787878789</v>
      </c>
      <c r="I12" s="350">
        <f>IF(ISNUMBER((Tasas!C12-Datos!BE12)/Datos!BE12),(Tasas!C12-Datos!BE12)/Datos!BE12," - ")</f>
        <v>-0.63241719520789286</v>
      </c>
      <c r="J12" s="349">
        <f>IF(ISNUMBER((Tasas!D12-Datos!BF12)/Datos!BF12),(Tasas!D12-Datos!BF12)/Datos!BF12," - ")</f>
        <v>-0.27272727272727271</v>
      </c>
      <c r="K12" s="351">
        <f>IF(ISNUMBER((Tasas!E12-Datos!BG12)/Datos!BG12),(Tasas!E12-Datos!BG12)/Datos!BG12," - ")</f>
        <v>-0.48273265196342113</v>
      </c>
      <c r="M12" t="e">
        <f>IF(Monitorios="SI",Datos!CE12,0)</f>
        <v>#REF!</v>
      </c>
      <c r="N12" t="e">
        <f>IF(Monitorios="SI",Datos!CF12,0)</f>
        <v>#REF!</v>
      </c>
      <c r="O12" t="e">
        <f>IF(Monitorios="SI",Datos!CG12,0)</f>
        <v>#REF!</v>
      </c>
      <c r="P12" t="e">
        <f>IF(Monitorios="SI",Datos!CH12,0)</f>
        <v>#REF!</v>
      </c>
      <c r="Q12">
        <f>IF(J_V="SI",0,Datos!AG12)</f>
        <v>25</v>
      </c>
      <c r="R12">
        <f>IF(J_V="SI",0,Datos!AH12)</f>
        <v>8</v>
      </c>
      <c r="S12">
        <f>IF(J_V="SI",0,Datos!AI12)</f>
        <v>8</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1.9090909090909092</v>
      </c>
      <c r="I13" s="357">
        <f>IF(ISNUMBER((Tasas!C13-Datos!BE13)/Datos!BE13),(Tasas!C13-Datos!BE13)/Datos!BE13," - ")</f>
        <v>-0.63357238906320035</v>
      </c>
      <c r="J13" s="355">
        <f>IF(ISNUMBER((Tasas!D13-Datos!BF13)/Datos!BF13),(Tasas!D13-Datos!BF13)/Datos!BF13," - ")</f>
        <v>-0.26773455377574368</v>
      </c>
      <c r="K13" s="358">
        <f>IF(ISNUMBER((Tasas!E13-Datos!BG13)/Datos!BG13),(Tasas!E13-Datos!BG13)/Datos!BG13," - ")</f>
        <v>-0.48390961999315302</v>
      </c>
      <c r="M13" t="e">
        <f>IF(Monitorios="SI",Datos!CE13,0)</f>
        <v>#REF!</v>
      </c>
      <c r="N13" t="e">
        <f>IF(Monitorios="SI",Datos!CF13,0)</f>
        <v>#REF!</v>
      </c>
      <c r="O13" t="e">
        <f>IF(Monitorios="SI",Datos!CG13,0)</f>
        <v>#REF!</v>
      </c>
      <c r="P13" t="e">
        <f>IF(Monitorios="SI",Datos!CH13,0)</f>
        <v>#REF!</v>
      </c>
      <c r="Q13">
        <f>IF(J_V="SI",0,Datos!AG13)</f>
        <v>25</v>
      </c>
      <c r="R13">
        <f>IF(J_V="SI",0,Datos!AH13)</f>
        <v>8</v>
      </c>
      <c r="S13">
        <f>IF(J_V="SI",0,Datos!AI13)</f>
        <v>8</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0.47773279352226722</v>
      </c>
      <c r="E16" s="348">
        <f>IF(ISNUMBER(
   IF(D_I="SI",(Datos!J16-Datos!T16)/Datos!T16,(Datos!J16+Datos!AD16-(Datos!T16+Datos!AL16))/(Datos!T16+Datos!AL16))
     ),IF(D_I="SI",(Datos!J16-Datos!T16)/Datos!T16,(Datos!J16+Datos!AD16-(Datos!T16+Datos!AL16))/(Datos!T16+Datos!AL16))," - ")</f>
        <v>0.42268041237113402</v>
      </c>
      <c r="F16" s="348">
        <f>IF(ISNUMBER(
   IF(D_I="SI",(Datos!K16-Datos!U16)/Datos!U16,(Datos!K16+Datos!AE16-(Datos!U16+Datos!AM16))/(Datos!U16+Datos!AM16))
     ),IF(D_I="SI",(Datos!K16-Datos!U16)/Datos!U16,(Datos!K16+Datos!AE16-(Datos!U16+Datos!AM16))/(Datos!U16+Datos!AM16))," - ")</f>
        <v>1.4326241134751774</v>
      </c>
      <c r="G16" s="349">
        <f>IF(ISNUMBER(
   IF(D_I="SI",(Datos!L16-Datos!V16)/Datos!V16,(Datos!L16+Datos!AF16-(Datos!V16+Datos!AN16))/(Datos!V16+Datos!AN16))
     ),IF(D_I="SI",(Datos!L16-Datos!V16)/Datos!V16,(Datos!L16+Datos!AF16-(Datos!V16+Datos!AN16))/(Datos!V16+Datos!AN16))," - ")</f>
        <v>-6.6666666666666671E-3</v>
      </c>
      <c r="H16" s="230">
        <f>IF(ISNUMBER((Datos!M16-Datos!W16)/Datos!W16),(Datos!M16-Datos!W16)/Datos!W16," - ")</f>
        <v>0.625</v>
      </c>
      <c r="I16" s="350">
        <f>IF(ISNUMBER((Tasas!C16-Datos!BE16)/Datos!BE16),(Tasas!C16-Datos!BE16)/Datos!BE16," - ")</f>
        <v>-0.59166180758017495</v>
      </c>
      <c r="J16" s="349">
        <f>IF(ISNUMBER((Tasas!D16-Datos!BF16)/Datos!BF16),(Tasas!D16-Datos!BF16)/Datos!BF16," - ")</f>
        <v>-0.33199708454810489</v>
      </c>
      <c r="K16" s="351">
        <f>IF(ISNUMBER((Tasas!E16-Datos!BG16)/Datos!BG16),(Tasas!E16-Datos!BG16)/Datos!BG16," - ")</f>
        <v>-0.40249102556474486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1.75</v>
      </c>
      <c r="E17" s="348">
        <f>IF(ISNUMBER(
   IF(D_I="SI",(Datos!J17-Datos!T17)/Datos!T17,(Datos!J17+Datos!AD17-(Datos!T17+Datos!AL17))/(Datos!T17+Datos!AL17))
     ),IF(D_I="SI",(Datos!J17-Datos!T17)/Datos!T17,(Datos!J17+Datos!AD17-(Datos!T17+Datos!AL17))/(Datos!T17+Datos!AL17))," - ")</f>
        <v>-0.27777777777777779</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1.21875</v>
      </c>
      <c r="H17" s="230">
        <f>IF(ISNUMBER((Datos!M17-Datos!W17)/Datos!W17),(Datos!M17-Datos!W17)/Datos!W17," - ")</f>
        <v>1</v>
      </c>
      <c r="I17" s="350">
        <f>IF(ISNUMBER((Tasas!C17-Datos!BE17)/Datos!BE17),(Tasas!C17-Datos!BE17)/Datos!BE17," - ")</f>
        <v>1.7734374999999998</v>
      </c>
      <c r="J17" s="349">
        <f>IF(ISNUMBER((Tasas!D17-Datos!BF17)/Datos!BF17),(Tasas!D17-Datos!BF17)/Datos!BF17," - ")</f>
        <v>1.4999999999999998</v>
      </c>
      <c r="K17" s="351">
        <f>IF(ISNUMBER((Tasas!E17-Datos!BG17)/Datos!BG17),(Tasas!E17-Datos!BG17)/Datos!BG17," - ")</f>
        <v>1.3511904761904761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0.59040590405904059</v>
      </c>
      <c r="E18" s="354">
        <f>IF(ISNUMBER(
   IF(D_I="SI",(Datos!J18-Datos!T18)/Datos!T18,(Datos!J18+Datos!AD18-(Datos!T18+Datos!AL18))/(Datos!T18+Datos!AL18))
     ),IF(D_I="SI",(Datos!J18-Datos!T18)/Datos!T18,(Datos!J18+Datos!AD18-(Datos!T18+Datos!AL18))/(Datos!T18+Datos!AL18))," - ")</f>
        <v>0.3632075471698113</v>
      </c>
      <c r="F18" s="354">
        <f>IF(ISNUMBER(
   IF(D_I="SI",(Datos!K18-Datos!U18)/Datos!U18,(Datos!K18+Datos!AE18-(Datos!U18+Datos!AM18))/(Datos!U18+Datos!AM18))
     ),IF(D_I="SI",(Datos!K18-Datos!U18)/Datos!U18,(Datos!K18+Datos!AE18-(Datos!U18+Datos!AM18))/(Datos!U18+Datos!AM18))," - ")</f>
        <v>1.3245033112582782</v>
      </c>
      <c r="G18" s="355">
        <f>IF(ISNUMBER(
   IF(D_I="SI",(Datos!L18-Datos!V18)/Datos!V18,(Datos!L18+Datos!AF18-(Datos!V18+Datos!AN18))/(Datos!V18+Datos!AN18))
     ),IF(D_I="SI",(Datos!L18-Datos!V18)/Datos!V18,(Datos!L18+Datos!AF18-(Datos!V18+Datos!AN18))/(Datos!V18+Datos!AN18))," - ")</f>
        <v>0.11144578313253012</v>
      </c>
      <c r="H18" s="356">
        <f>IF(ISNUMBER((Datos!M18-Datos!W18)/Datos!W18),(Datos!M18-Datos!W18)/Datos!W18," - ")</f>
        <v>0.6470588235294118</v>
      </c>
      <c r="I18" s="357">
        <f>IF(ISNUMBER((Tasas!C18-Datos!BE18)/Datos!BE18),(Tasas!C18-Datos!BE18)/Datos!BE18," - ")</f>
        <v>-0.52185665739882603</v>
      </c>
      <c r="J18" s="355">
        <f>IF(ISNUMBER((Tasas!D18-Datos!BF18)/Datos!BF18),(Tasas!D18-Datos!BF18)/Datos!BF18," - ")</f>
        <v>-0.29143623261270324</v>
      </c>
      <c r="K18" s="358">
        <f>IF(ISNUMBER((Tasas!E18-Datos!BG18)/Datos!BG18),(Tasas!E18-Datos!BG18)/Datos!BG18," - ")</f>
        <v>-0.35870892392631532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0.34811165845648606</v>
      </c>
      <c r="E19" s="363">
        <f>IF(ISNUMBER(
   IF(J_V="SI",(Datos!J19-Datos!T19)/Datos!T19,(Datos!J19+Datos!Z19-(Datos!T19+Datos!AH19))/(Datos!T19+Datos!AH19))
     ),IF(J_V="SI",(Datos!J19-Datos!T19)/Datos!T19,(Datos!J19+Datos!Z19-(Datos!T19+Datos!AH19))/(Datos!T19+Datos!AH19))," - ")</f>
        <v>0.31413612565445026</v>
      </c>
      <c r="F19" s="363">
        <f>IF(ISNUMBER(
   IF(J_V="SI",(Datos!K19-Datos!U19)/Datos!U19,(Datos!K19+Datos!AA19-(Datos!U19+Datos!AI19))/(Datos!U19+Datos!AI19))
     ),IF(J_V="SI",(Datos!K19-Datos!U19)/Datos!U19,(Datos!K19+Datos!AA19-(Datos!U19+Datos!AI19))/(Datos!U19+Datos!AI19))," - ")</f>
        <v>1.3136531365313653</v>
      </c>
      <c r="G19" s="364">
        <f>IF(ISNUMBER(
   IF(J_V="SI",(Datos!L19-Datos!V19)/Datos!V19,(Datos!L19+Datos!AB19-(Datos!V19+Datos!AJ19))/(Datos!V19+Datos!AJ19))
     ),IF(J_V="SI",(Datos!L19-Datos!V19)/Datos!V19,(Datos!L19+Datos!AB19-(Datos!V19+Datos!AJ19))/(Datos!V19+Datos!AJ19))," - ")</f>
        <v>-3.3333333333333333E-2</v>
      </c>
      <c r="H19" s="365">
        <f>IF(ISNUMBER((Datos!M19-Datos!W19)/Datos!W19),(Datos!M19-Datos!W19)/Datos!W19," - ")</f>
        <v>1.48</v>
      </c>
      <c r="I19" s="362">
        <f>IF(ISNUMBER((Tasas!C19-Datos!BE19)/Datos!BE19),(Tasas!C19-Datos!BE19)/Datos!BE19," - ")</f>
        <v>-0.58219032429558748</v>
      </c>
      <c r="J19" s="363">
        <f>IF(ISNUMBER((Tasas!D19-Datos!BF19)/Datos!BF19),(Tasas!D19-Datos!BF19)/Datos!BF19," - ")</f>
        <v>-0.27574464416569688</v>
      </c>
      <c r="K19" s="364">
        <f>IF(ISNUMBER((Tasas!E19-Datos!BG19)/Datos!BG19),(Tasas!E19-Datos!BG19)/Datos!BG19," - ")</f>
        <v>-0.42298388848922597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0.74248037546524748</v>
      </c>
      <c r="E21" s="278">
        <f t="shared" si="1"/>
        <v>0.38838144579783723</v>
      </c>
      <c r="F21" s="278">
        <f t="shared" si="1"/>
        <v>0.91298612163695092</v>
      </c>
      <c r="G21" s="279">
        <f t="shared" si="1"/>
        <v>0.59438591251510442</v>
      </c>
      <c r="H21" s="285">
        <f t="shared" si="1"/>
        <v>0.64015883633070603</v>
      </c>
      <c r="I21" s="277">
        <f t="shared" si="1"/>
        <v>1.0601155374145512</v>
      </c>
      <c r="J21" s="278">
        <f t="shared" si="1"/>
        <v>0.80134664838509917</v>
      </c>
      <c r="K21" s="279">
        <f t="shared" si="1"/>
        <v>0.79925165731215142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rEw4mufUY8mZmVbMZlUDP386NLLrinlVXtszCQ56gEjkXhl0pm6Kyi1ilk9hrZawOdGsi0OMx0CTn7eqQLVrg==" saltValue="paIaZsilBj+yDhHrrN3fA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ASTURIAS</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13.040000000000001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2</v>
      </c>
      <c r="B16" s="502" t="str">
        <f>Datos!A16</f>
        <v xml:space="preserve">Jdos. 1ª Instª. e Instr.                        </v>
      </c>
      <c r="C16" s="225">
        <f t="shared" si="2"/>
        <v>365</v>
      </c>
      <c r="D16" s="225">
        <f>IF(ISNUMBER(IF(D_I="SI",Datos!I16,Datos!I16+Datos!AC16)),IF(D_I="SI",Datos!I16,Datos!I16+Datos!AC16)," - ")</f>
        <v>365</v>
      </c>
      <c r="E16" s="226">
        <f>IF(ISNUMBER(IF(D_I="SI",Datos!J16,Datos!J16+Datos!AD16)),IF(D_I="SI",Datos!J16,Datos!J16+Datos!AD16)," - ")</f>
        <v>276</v>
      </c>
      <c r="F16" s="226">
        <f>IF(ISNUMBER(IF(D_I="SI",Datos!K16,Datos!K16+Datos!AE16)),IF(D_I="SI",Datos!K16,Datos!K16+Datos!AE16)," - ")</f>
        <v>343</v>
      </c>
      <c r="G16" s="1034" t="str">
        <f>IF(Datos!E16&lt;&gt;"",Datos!E16,Datos!D16)</f>
        <v>04</v>
      </c>
      <c r="H16" s="227">
        <f>IF(ISNUMBER(IF(D_I="SI",Datos!L16,Datos!L16+Datos!AF16)),IF(D_I="SI",Datos!L16,Datos!L16+Datos!AF16)," - ")</f>
        <v>298</v>
      </c>
      <c r="I16" s="1044" t="str">
        <f>IF(ISNUMBER(Datos!AS16/Datos!BM16),Datos!AS16/Datos!BM16," - ")</f>
        <v xml:space="preserve"> - </v>
      </c>
      <c r="J16" s="1045">
        <f>IF(ISNUMBER(Datos!BY16/Datos!CN16),Datos!BY16/Datos!CN16," - ")</f>
        <v>0</v>
      </c>
      <c r="K16" s="230">
        <f t="shared" si="3"/>
        <v>-0.18356164383561643</v>
      </c>
      <c r="L16" s="1025">
        <f>IF(ISNUMBER(NºAsuntos!I16/NºAsuntos!G16),(NºAsuntos!I16/NºAsuntos!G16)*11," - ")</f>
        <v>9.556851311953352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66</v>
      </c>
      <c r="D17" s="225">
        <f>IF(ISNUMBER(IF(D_I="SI",Datos!I17,Datos!I17+Datos!AC17)),IF(D_I="SI",Datos!I17,Datos!I17+Datos!AC17)," - ")</f>
        <v>66</v>
      </c>
      <c r="E17" s="226">
        <f>IF(ISNUMBER(IF(D_I="SI",Datos!J17,Datos!J17+Datos!AD17)),IF(D_I="SI",Datos!J17,Datos!J17+Datos!AD17)," - ")</f>
        <v>13</v>
      </c>
      <c r="F17" s="226">
        <f>IF(ISNUMBER(IF(D_I="SI",Datos!K17,Datos!K17+Datos!AE17)),IF(D_I="SI",Datos!K17,Datos!K17+Datos!AE17)," - ")</f>
        <v>8</v>
      </c>
      <c r="G17" s="1034" t="str">
        <f>IF(Datos!E17&lt;&gt;"",Datos!E17,Datos!D17)</f>
        <v>37</v>
      </c>
      <c r="H17" s="227">
        <f>IF(ISNUMBER(IF(D_I="SI",Datos!L17,Datos!L17+Datos!AF17)),IF(D_I="SI",Datos!L17,Datos!L17+Datos!AF17)," - ")</f>
        <v>71</v>
      </c>
      <c r="I17" s="1044" t="str">
        <f>IF(ISNUMBER(Datos!AS17/Datos!BM17),Datos!AS17/Datos!BM17," - ")</f>
        <v xml:space="preserve"> - </v>
      </c>
      <c r="J17" s="1045" t="str">
        <f>IF(ISNUMBER((Datos!BY17+Datos!BZ17)/Datos!CN17),(Datos!BY17+Datos!BZ17)/Datos!CN17," - ")</f>
        <v xml:space="preserve"> - </v>
      </c>
      <c r="K17" s="230">
        <f t="shared" si="3"/>
        <v>7.575757575757576E-2</v>
      </c>
      <c r="L17" s="1025">
        <f>IF(ISNUMBER(NºAsuntos!I17/NºAsuntos!G17),(NºAsuntos!I17/NºAsuntos!G17)*11," - ")</f>
        <v>97.625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431</v>
      </c>
      <c r="D18" s="1049">
        <f>SUBTOTAL(9,D15:D17)</f>
        <v>431</v>
      </c>
      <c r="E18" s="1050">
        <f>SUBTOTAL(9,E15:E17)</f>
        <v>289</v>
      </c>
      <c r="F18" s="1050">
        <f>SUBTOTAL(9,F15:F17)</f>
        <v>351</v>
      </c>
      <c r="G18" s="1052" t="str">
        <f ca="1">INDIRECT(CONCATENATE("G",ROW()-1))</f>
        <v>37</v>
      </c>
      <c r="H18" s="1053">
        <f ca="1">SUMIF(G$14:G17,G18,H$14:H17)</f>
        <v>71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432</v>
      </c>
      <c r="D19" s="1071">
        <f>SUBTOTAL(9,D9:D18)</f>
        <v>432</v>
      </c>
      <c r="E19" s="1072">
        <f>SUBTOTAL(9,E9:E18)</f>
        <v>290</v>
      </c>
      <c r="F19" s="1072">
        <f>SUBTOTAL(9,F9:F18)</f>
        <v>352</v>
      </c>
      <c r="G19" s="1073"/>
      <c r="H19" s="1074">
        <f ca="1">SUMIF(B9:B18,"TOTAL",H9:H18)</f>
        <v>71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06WB72kGiH03uKZWN2EHxfHDdECPDPRunb9/AjThu9ChUW7ujJhvVnHccWg+OZyprF+e610AbwelLsIc/8E/BQ==" saltValue="vgOjffLgHecvFlyObgsxI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jNYa9GievOKhOJmE1aZ2pkcclSP5ZBX6H8oBQKpaMjN5qX9lc6J1yNZU0K9xjHikfRpJvvtAX+YXoLTLJJwDg==" saltValue="mA/I5zJLc5jS2e+uopJW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2</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361</v>
      </c>
      <c r="J12" s="183">
        <v>203</v>
      </c>
      <c r="K12" s="183">
        <v>253</v>
      </c>
      <c r="L12" s="183">
        <v>311</v>
      </c>
      <c r="M12" s="183">
        <v>95</v>
      </c>
      <c r="N12" s="183">
        <v>120</v>
      </c>
      <c r="O12" s="181">
        <v>78</v>
      </c>
      <c r="P12" s="183">
        <v>92</v>
      </c>
      <c r="Q12" s="183">
        <v>37</v>
      </c>
      <c r="R12" s="183">
        <v>542</v>
      </c>
      <c r="S12" s="183">
        <v>312</v>
      </c>
      <c r="T12" s="183">
        <v>162</v>
      </c>
      <c r="U12" s="183">
        <v>112</v>
      </c>
      <c r="V12" s="183">
        <v>362</v>
      </c>
      <c r="W12" s="183">
        <v>33</v>
      </c>
      <c r="X12" s="189">
        <v>57</v>
      </c>
      <c r="Y12" s="191">
        <v>28</v>
      </c>
      <c r="Z12" s="181">
        <v>9</v>
      </c>
      <c r="AA12" s="181">
        <v>22</v>
      </c>
      <c r="AB12" s="181">
        <v>15</v>
      </c>
      <c r="AC12" s="183">
        <v>0</v>
      </c>
      <c r="AD12" s="183">
        <v>0</v>
      </c>
      <c r="AE12" s="183">
        <v>0</v>
      </c>
      <c r="AF12" s="189">
        <v>0</v>
      </c>
      <c r="AG12" s="202">
        <v>25</v>
      </c>
      <c r="AH12" s="183">
        <v>8</v>
      </c>
      <c r="AI12" s="183">
        <v>8</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337</v>
      </c>
      <c r="AZ12" s="127">
        <f t="shared" si="1"/>
        <v>170</v>
      </c>
      <c r="BA12" s="127">
        <f t="shared" si="1"/>
        <v>120</v>
      </c>
      <c r="BB12" s="127">
        <f t="shared" si="1"/>
        <v>387</v>
      </c>
      <c r="BC12" s="125">
        <f>IF(ISNUMBER(X12),X12," - ")</f>
        <v>57</v>
      </c>
      <c r="BD12" s="126">
        <f t="shared" si="2"/>
        <v>0.70588235294117652</v>
      </c>
      <c r="BE12" s="127">
        <f t="shared" si="3"/>
        <v>3.2250000000000001</v>
      </c>
      <c r="BF12" s="127">
        <f t="shared" si="4"/>
        <v>0.47499999999999998</v>
      </c>
      <c r="BG12" s="196">
        <f t="shared" si="5"/>
        <v>4.2249999999999996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362</v>
      </c>
      <c r="J13" s="184">
        <f t="shared" si="6"/>
        <v>204</v>
      </c>
      <c r="K13" s="184">
        <f t="shared" si="6"/>
        <v>254</v>
      </c>
      <c r="L13" s="184">
        <f t="shared" si="6"/>
        <v>312</v>
      </c>
      <c r="M13" s="184">
        <f t="shared" si="6"/>
        <v>96</v>
      </c>
      <c r="N13" s="184">
        <f t="shared" si="6"/>
        <v>120</v>
      </c>
      <c r="O13" s="184">
        <f t="shared" si="6"/>
        <v>78</v>
      </c>
      <c r="P13" s="184">
        <f t="shared" si="6"/>
        <v>92</v>
      </c>
      <c r="Q13" s="184">
        <f t="shared" si="6"/>
        <v>37</v>
      </c>
      <c r="R13" s="184">
        <f t="shared" si="6"/>
        <v>544</v>
      </c>
      <c r="S13" s="184">
        <f t="shared" si="6"/>
        <v>313</v>
      </c>
      <c r="T13" s="184">
        <f t="shared" si="6"/>
        <v>162</v>
      </c>
      <c r="U13" s="184">
        <f t="shared" si="6"/>
        <v>112</v>
      </c>
      <c r="V13" s="184">
        <f t="shared" si="6"/>
        <v>363</v>
      </c>
      <c r="W13" s="184">
        <f t="shared" si="6"/>
        <v>33</v>
      </c>
      <c r="X13" s="184">
        <f t="shared" si="6"/>
        <v>57</v>
      </c>
      <c r="Y13" s="184">
        <f t="shared" si="6"/>
        <v>28</v>
      </c>
      <c r="Z13" s="184">
        <f t="shared" si="6"/>
        <v>9</v>
      </c>
      <c r="AA13" s="184">
        <f t="shared" si="6"/>
        <v>22</v>
      </c>
      <c r="AB13" s="184">
        <f t="shared" si="6"/>
        <v>15</v>
      </c>
      <c r="AC13" s="184">
        <f t="shared" si="6"/>
        <v>0</v>
      </c>
      <c r="AD13" s="184">
        <f t="shared" si="6"/>
        <v>0</v>
      </c>
      <c r="AE13" s="184">
        <f t="shared" si="6"/>
        <v>0</v>
      </c>
      <c r="AF13" s="184">
        <f>SUBTOTAL(9,AF9:AF12)</f>
        <v>0</v>
      </c>
      <c r="AG13" s="184">
        <f t="shared" ref="AG13:AT13" si="7">SUBTOTAL(9,AG8:AG12)</f>
        <v>25</v>
      </c>
      <c r="AH13" s="184">
        <f t="shared" si="7"/>
        <v>8</v>
      </c>
      <c r="AI13" s="184">
        <f t="shared" si="7"/>
        <v>8</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338</v>
      </c>
      <c r="AZ13" s="184">
        <f>SUBTOTAL(9,AZ8:AZ12)</f>
        <v>170</v>
      </c>
      <c r="BA13" s="184">
        <f>SUBTOTAL(9,BA8:BA12)</f>
        <v>120</v>
      </c>
      <c r="BB13" s="184">
        <f>SUBTOTAL(9,BB8:BB12)</f>
        <v>388</v>
      </c>
      <c r="BC13" s="184">
        <f>SUBTOTAL(9,BC8:BC12)</f>
        <v>57</v>
      </c>
      <c r="BD13" s="205">
        <f>IF(ISNUMBER(BA13/AZ13),BA13/AZ13," - ")</f>
        <v>0.70588235294117652</v>
      </c>
      <c r="BE13" s="206">
        <f>IF(ISNUMBER(BB13/BA13),BB13/BA13, " - ")</f>
        <v>3.2333333333333334</v>
      </c>
      <c r="BF13" s="206">
        <f>IF(ISNUMBER(BC13/BA13),BC13/BA13, " - ")</f>
        <v>0.47499999999999998</v>
      </c>
      <c r="BG13" s="207">
        <f>IF(ISNUMBER((AY13+AZ13)/BA13),(AY13+AZ13)/BA13," - ")</f>
        <v>4.2333333333333334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365</v>
      </c>
      <c r="J16" s="183">
        <v>276</v>
      </c>
      <c r="K16" s="183">
        <v>343</v>
      </c>
      <c r="L16" s="183">
        <v>298</v>
      </c>
      <c r="M16" s="183">
        <v>26</v>
      </c>
      <c r="N16" s="183">
        <v>156</v>
      </c>
      <c r="O16" s="181">
        <v>7</v>
      </c>
      <c r="P16" s="183">
        <v>15</v>
      </c>
      <c r="Q16" s="183">
        <v>8</v>
      </c>
      <c r="R16" s="183">
        <v>35</v>
      </c>
      <c r="S16" s="183">
        <v>247</v>
      </c>
      <c r="T16" s="183">
        <v>194</v>
      </c>
      <c r="U16" s="183">
        <v>141</v>
      </c>
      <c r="V16" s="183">
        <v>300</v>
      </c>
      <c r="W16" s="183">
        <v>16</v>
      </c>
      <c r="X16" s="189">
        <v>109</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247</v>
      </c>
      <c r="AZ16" s="127">
        <f t="shared" si="9"/>
        <v>194</v>
      </c>
      <c r="BA16" s="127">
        <f t="shared" si="9"/>
        <v>141</v>
      </c>
      <c r="BB16" s="127">
        <f t="shared" si="9"/>
        <v>300</v>
      </c>
      <c r="BC16" s="125">
        <f>IF(ISNUMBER(W16),W16," - ")</f>
        <v>16</v>
      </c>
      <c r="BD16" s="126">
        <f t="shared" ref="BD16" si="11">IF(ISNUMBER(BA16/AZ16),BA16/AZ16," - ")</f>
        <v>0.72680412371134018</v>
      </c>
      <c r="BE16" s="127">
        <f t="shared" ref="BE16" si="12">IF(ISNUMBER(BB16/BA16),BB16/BA16, " - ")</f>
        <v>2.1276595744680851</v>
      </c>
      <c r="BF16" s="127">
        <f t="shared" ref="BF16" si="13">IF(ISNUMBER(BC16/BA16),BC16/BA16, " - ")</f>
        <v>0.11347517730496454</v>
      </c>
      <c r="BG16" s="196">
        <f t="shared" si="10"/>
        <v>3.1276595744680851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66</v>
      </c>
      <c r="J17" s="183">
        <v>13</v>
      </c>
      <c r="K17" s="183">
        <v>8</v>
      </c>
      <c r="L17" s="183">
        <v>71</v>
      </c>
      <c r="M17" s="183">
        <v>2</v>
      </c>
      <c r="N17" s="183">
        <v>7</v>
      </c>
      <c r="O17" s="183">
        <v>0</v>
      </c>
      <c r="P17" s="183">
        <v>0</v>
      </c>
      <c r="Q17" s="183">
        <v>0</v>
      </c>
      <c r="R17" s="183">
        <v>0</v>
      </c>
      <c r="S17" s="183">
        <v>24</v>
      </c>
      <c r="T17" s="183">
        <v>18</v>
      </c>
      <c r="U17" s="183">
        <v>10</v>
      </c>
      <c r="V17" s="183">
        <v>32</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18</v>
      </c>
      <c r="BA17" s="129">
        <f t="shared" si="14"/>
        <v>10</v>
      </c>
      <c r="BB17" s="129">
        <f t="shared" si="14"/>
        <v>32</v>
      </c>
      <c r="BC17" s="125">
        <f>IF(ISNUMBER(W17),W17," - ")</f>
        <v>1</v>
      </c>
      <c r="BD17" s="126">
        <f>IF(ISNUMBER(BA17/AZ17),BA17/AZ17," - ")</f>
        <v>0.55555555555555558</v>
      </c>
      <c r="BE17" s="127">
        <f>IF(ISNUMBER(BB17/BA17),BB17/BA17, " - ")</f>
        <v>3.2</v>
      </c>
      <c r="BF17" s="127">
        <f>IF(ISNUMBER(BC17/BA17),BC17/BA17, " - ")</f>
        <v>0.1</v>
      </c>
      <c r="BG17" s="196">
        <f>IF(ISNUMBER((AY17+AZ17)/BA17),(AY17+AZ17)/BA17," - ")</f>
        <v>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431</v>
      </c>
      <c r="J18" s="184">
        <f t="shared" si="15"/>
        <v>289</v>
      </c>
      <c r="K18" s="184">
        <f t="shared" si="15"/>
        <v>351</v>
      </c>
      <c r="L18" s="184">
        <f t="shared" si="15"/>
        <v>369</v>
      </c>
      <c r="M18" s="184">
        <f t="shared" si="15"/>
        <v>28</v>
      </c>
      <c r="N18" s="184">
        <f t="shared" si="15"/>
        <v>163</v>
      </c>
      <c r="O18" s="184">
        <f t="shared" si="15"/>
        <v>7</v>
      </c>
      <c r="P18" s="184">
        <f t="shared" si="15"/>
        <v>15</v>
      </c>
      <c r="Q18" s="184">
        <f t="shared" si="15"/>
        <v>8</v>
      </c>
      <c r="R18" s="184">
        <f t="shared" si="15"/>
        <v>35</v>
      </c>
      <c r="S18" s="184">
        <f t="shared" si="15"/>
        <v>271</v>
      </c>
      <c r="T18" s="184">
        <f t="shared" si="15"/>
        <v>212</v>
      </c>
      <c r="U18" s="184">
        <f t="shared" si="15"/>
        <v>151</v>
      </c>
      <c r="V18" s="184">
        <f t="shared" si="15"/>
        <v>332</v>
      </c>
      <c r="W18" s="184">
        <f t="shared" si="15"/>
        <v>17</v>
      </c>
      <c r="X18" s="184">
        <f t="shared" si="15"/>
        <v>117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271</v>
      </c>
      <c r="AZ18" s="184">
        <f>SUBTOTAL(9,AZ14:AZ17)</f>
        <v>212</v>
      </c>
      <c r="BA18" s="184">
        <f>SUBTOTAL(9,BA14:BA17)</f>
        <v>151</v>
      </c>
      <c r="BB18" s="184">
        <f>SUBTOTAL(9,BB14:BB17)</f>
        <v>332</v>
      </c>
      <c r="BC18" s="184">
        <f>SUBTOTAL(9,BC14:BC17)</f>
        <v>17</v>
      </c>
      <c r="BD18" s="205">
        <f>IF(ISNUMBER(BA18/AZ18),BA18/AZ18," - ")</f>
        <v>0.71226415094339623</v>
      </c>
      <c r="BE18" s="206">
        <f>IF(ISNUMBER(BB18/BA18),BB18/BA18, " - ")</f>
        <v>2.1986754966887418</v>
      </c>
      <c r="BF18" s="206">
        <f>IF(ISNUMBER(BC18/BA18),BC18/BA18, " - ")</f>
        <v>0.11258278145695365</v>
      </c>
      <c r="BG18" s="207">
        <f>IF(ISNUMBER((AY18+AZ18)/BA18),(AY18+AZ18)/BA18," - ")</f>
        <v>3.1986754966887418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793</v>
      </c>
      <c r="J19" s="134">
        <f t="shared" si="18"/>
        <v>493</v>
      </c>
      <c r="K19" s="134">
        <f t="shared" si="18"/>
        <v>605</v>
      </c>
      <c r="L19" s="134">
        <f t="shared" si="18"/>
        <v>681</v>
      </c>
      <c r="M19" s="134">
        <f t="shared" si="18"/>
        <v>124</v>
      </c>
      <c r="N19" s="134">
        <f t="shared" si="18"/>
        <v>283</v>
      </c>
      <c r="O19" s="134">
        <f t="shared" si="18"/>
        <v>85</v>
      </c>
      <c r="P19" s="134">
        <f t="shared" si="18"/>
        <v>107</v>
      </c>
      <c r="Q19" s="134">
        <f t="shared" si="18"/>
        <v>45</v>
      </c>
      <c r="R19" s="134">
        <f t="shared" si="18"/>
        <v>579</v>
      </c>
      <c r="S19" s="134">
        <f t="shared" si="18"/>
        <v>584</v>
      </c>
      <c r="T19" s="134">
        <f t="shared" si="18"/>
        <v>374</v>
      </c>
      <c r="U19" s="134">
        <f t="shared" si="18"/>
        <v>263</v>
      </c>
      <c r="V19" s="134">
        <f t="shared" si="18"/>
        <v>695</v>
      </c>
      <c r="W19" s="134">
        <f t="shared" si="18"/>
        <v>50</v>
      </c>
      <c r="X19" s="134">
        <f t="shared" si="18"/>
        <v>174</v>
      </c>
      <c r="Y19" s="134">
        <f t="shared" si="18"/>
        <v>28</v>
      </c>
      <c r="Z19" s="134">
        <f t="shared" si="18"/>
        <v>9</v>
      </c>
      <c r="AA19" s="134">
        <f t="shared" si="18"/>
        <v>22</v>
      </c>
      <c r="AB19" s="134">
        <f t="shared" si="18"/>
        <v>15</v>
      </c>
      <c r="AC19" s="134">
        <f t="shared" si="18"/>
        <v>0</v>
      </c>
      <c r="AD19" s="134">
        <f t="shared" si="18"/>
        <v>2</v>
      </c>
      <c r="AE19" s="134">
        <f t="shared" si="18"/>
        <v>2</v>
      </c>
      <c r="AF19" s="134">
        <f t="shared" si="18"/>
        <v>0</v>
      </c>
      <c r="AG19" s="134">
        <f t="shared" si="18"/>
        <v>25</v>
      </c>
      <c r="AH19" s="134">
        <f t="shared" si="18"/>
        <v>8</v>
      </c>
      <c r="AI19" s="134">
        <f t="shared" si="18"/>
        <v>8</v>
      </c>
      <c r="AJ19" s="134">
        <f t="shared" si="18"/>
        <v>25</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609</v>
      </c>
      <c r="AZ19" s="134">
        <f>SUBTOTAL(9,AZ9:AZ18)</f>
        <v>382</v>
      </c>
      <c r="BA19" s="134">
        <f>SUBTOTAL(9,BA9:BA18)</f>
        <v>271</v>
      </c>
      <c r="BB19" s="134">
        <f>SUBTOTAL(9,BB9:BB18)</f>
        <v>720</v>
      </c>
      <c r="BC19" s="135">
        <f>SUBTOTAL(9,BC9:BC18)</f>
        <v>74</v>
      </c>
      <c r="BD19" s="213">
        <f>IF(ISNUMBER(BA19/AZ19),BA19/AZ19," - ")</f>
        <v>0.70942408376963351</v>
      </c>
      <c r="BE19" s="210">
        <f>IF(ISNUMBER(BB19/BA19),BB19/BA19, " - ")</f>
        <v>2.6568265682656826</v>
      </c>
      <c r="BF19" s="210">
        <f>IF(ISNUMBER(BC19/BA19),BC19/BA19, " - ")</f>
        <v>0.27306273062730629</v>
      </c>
      <c r="BG19" s="135">
        <f>IF(ISNUMBER((AY19+AZ19)/BA19),(AY19+AZ19)/BA19," - ")</f>
        <v>3.6568265682656826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2vBmdSdSJKr1wjpFv1MEZqaR/mrkOp2ySBltk30QzZIOi+u3+F7CcehowrqKWwrTivHDZnObwFF7HVRQBnd5og==" saltValue="AjGR4XjYZEee1a3BVqvEw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Tg2zM8xw6ZqR2apr25lBc4YBPFkzE6eE7LEF1pol8MDF92kBs94JHOs3iEMDkOHStloLaEkV5Zjr4erKqltGMQ==" saltValue="6JcvjTFDnWKCNMJStWtcu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ASTURIAS</v>
      </c>
    </row>
    <row r="2" spans="1:74" ht="16.5" customHeight="1">
      <c r="C2" s="488" t="str">
        <f>Criterios!A10 &amp;"  "&amp;Criterios!B10 &amp; "  " &amp; IF(NOT(ISBLANK(Criterios!A11)),Criterios!A11 &amp;"  "&amp;Criterios!B11,"")</f>
        <v>Provincias  ASTURIAS  Resumenes por Partidos Judiciales  GRADO</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542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95</v>
      </c>
      <c r="BD12" s="229">
        <f>IF(ISNUMBER(Datos!N12),Datos!N12," - ")</f>
        <v>120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1.2971698113207548</v>
      </c>
      <c r="BH12" s="260">
        <f>IF(ISNUMBER(((IF(J_V="SI",Datos!L12/Datos!K12,(Datos!L12+Datos!AB12)/(Datos!K12+Datos!AA12)))*11)/factor_trimestre),((IF(J_V="SI",Datos!L12/Datos!K12,(Datos!L12+Datos!AB12)/(Datos!K12+Datos!AA12)))*11)/factor_trimestre," - ")</f>
        <v>3.5563636363636366</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0.11293634496919917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37</v>
      </c>
      <c r="AD13" s="899">
        <f t="shared" si="1"/>
        <v>0</v>
      </c>
      <c r="AE13" s="899">
        <f t="shared" si="1"/>
        <v>0</v>
      </c>
      <c r="AF13" s="899">
        <f t="shared" si="1"/>
        <v>1</v>
      </c>
      <c r="AG13" s="899">
        <f t="shared" si="1"/>
        <v>0</v>
      </c>
      <c r="AH13" s="899">
        <f t="shared" si="1"/>
        <v>15</v>
      </c>
      <c r="AI13" s="899">
        <f t="shared" si="1"/>
        <v>0</v>
      </c>
      <c r="AJ13" s="899">
        <f t="shared" si="1"/>
        <v>0</v>
      </c>
      <c r="AK13" s="899">
        <f t="shared" si="1"/>
        <v>0</v>
      </c>
      <c r="AL13" s="899">
        <f t="shared" si="1"/>
        <v>0</v>
      </c>
      <c r="AM13" s="899">
        <f t="shared" si="1"/>
        <v>544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96</v>
      </c>
      <c r="BD13" s="899">
        <f t="shared" si="1"/>
        <v>120</v>
      </c>
      <c r="BE13" s="899">
        <f t="shared" si="1"/>
        <v>0</v>
      </c>
      <c r="BF13" s="899">
        <f t="shared" si="1"/>
        <v>0</v>
      </c>
      <c r="BG13" s="899">
        <f>IF(ISNUMBER(Datos!K13/Datos!J13),Datos!K13/Datos!J13," - ")</f>
        <v>1.2450980392156863</v>
      </c>
      <c r="BH13" s="903">
        <f>IF(ISNUMBER(((Datos!L13/Datos!K13)*11)/factor_trimestre),((Datos!L13/Datos!K13)*11)/factor_trimestre," - ")</f>
        <v>3.6850393700787407</v>
      </c>
      <c r="BI13" s="899">
        <f>IF(ISNUMBER('Resol  Asuntos'!D13/NºAsuntos!G13),'Resol  Asuntos'!D13/NºAsuntos!G13," - ")</f>
        <v>0.34782608695652173</v>
      </c>
      <c r="BJ13" s="899" t="str">
        <f>IF(ISNUMBER(Datos!CI13/Datos!CJ13),Datos!CI13/Datos!CJ13," - ")</f>
        <v xml:space="preserve"> - </v>
      </c>
      <c r="BK13" s="899">
        <f>SUBTOTAL(9,BK8:BK12)</f>
        <v>0</v>
      </c>
      <c r="BL13" s="899">
        <f>IF(ISNUMBER((I13-AB13+L13)/(F13)),(I13-AB13+L13)/(F13)," - ")</f>
        <v>-1</v>
      </c>
      <c r="BM13" s="904">
        <f>SUBTOTAL(9,BM9:BM12)</f>
        <v>0.11293634496919917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365</v>
      </c>
      <c r="G16" s="598">
        <f>IF(ISNUMBER(IF(D_I="SI",Datos!I16,Datos!I16+Datos!AC16)),IF(D_I="SI",Datos!I16,Datos!I16+Datos!AC16)," - ")</f>
        <v>365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343</v>
      </c>
      <c r="AC16" s="226">
        <f>IF(ISNUMBER(Datos!Q16),Datos!Q16," - ")</f>
        <v>8</v>
      </c>
      <c r="AD16" s="334"/>
      <c r="AE16" s="484"/>
      <c r="AF16" s="596">
        <f>IF(ISNUMBER(IF(D_I="SI",Datos!L16,Datos!L16+Datos!AF16)),IF(D_I="SI",Datos!L16,Datos!L16+Datos!AF16)," - ")</f>
        <v>298</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156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1.2427536231884058</v>
      </c>
      <c r="BH16" s="260">
        <f>IF(ISNUMBER(((IF(D_I="SI",Datos!L16/Datos!K16,(Datos!L16+Datos!AF16)/(Datos!K16+Datos!AE16)))*11)/factor_trimestre),((IF(D_I="SI",Datos!L16/Datos!K16,(Datos!L16+Datos!AF16)/(Datos!K16+Datos!AE16)))*11)/factor_trimestre," - ")</f>
        <v>2.6064139941690962</v>
      </c>
      <c r="BI16" s="243">
        <f>IF(ISNUMBER('Resol  Asuntos'!D16/NºAsuntos!G16),'Resol  Asuntos'!D16/NºAsuntos!G16," - ")</f>
        <v>7.5801749271137031E-2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71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0.61538461538461542</v>
      </c>
      <c r="BH17" s="260">
        <f>IF(ISNUMBER(((IF(D_I="SI",Datos!L17/Datos!K17,(Datos!L17+Datos!AF17)/(Datos!K17+Datos!AE17)))*11)/factor_trimestre),((IF(D_I="SI",Datos!L17/Datos!K17,(Datos!L17+Datos!AF17)/(Datos!K17+Datos!AE17)))*11)/factor_trimestre," - ")</f>
        <v>26.625</v>
      </c>
      <c r="BI17" s="243">
        <f>IF(ISNUMBER('Resol  Asuntos'!D17/NºAsuntos!G17),'Resol  Asuntos'!D17/NºAsuntos!G17," - ")</f>
        <v>0.25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2</v>
      </c>
      <c r="F18" s="898">
        <f>SUBTOTAL(9,F15:F17)</f>
        <v>365</v>
      </c>
      <c r="G18" s="898">
        <f>SUBTOTAL(9,G15:G17)</f>
        <v>431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351</v>
      </c>
      <c r="AC18" s="899">
        <f t="shared" si="4"/>
        <v>8</v>
      </c>
      <c r="AD18" s="899">
        <f t="shared" si="4"/>
        <v>0</v>
      </c>
      <c r="AE18" s="899">
        <f t="shared" si="4"/>
        <v>0</v>
      </c>
      <c r="AF18" s="899">
        <f t="shared" si="4"/>
        <v>369</v>
      </c>
      <c r="AG18" s="899">
        <f t="shared" si="4"/>
        <v>0</v>
      </c>
      <c r="AH18" s="899">
        <f t="shared" si="4"/>
        <v>0</v>
      </c>
      <c r="AI18" s="899">
        <f t="shared" si="4"/>
        <v>0</v>
      </c>
      <c r="AJ18" s="899">
        <f t="shared" si="4"/>
        <v>0</v>
      </c>
      <c r="AK18" s="899">
        <f t="shared" si="4"/>
        <v>0</v>
      </c>
      <c r="AL18" s="899">
        <f t="shared" si="4"/>
        <v>0</v>
      </c>
      <c r="AM18" s="899">
        <f t="shared" si="4"/>
        <v>35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163</v>
      </c>
      <c r="BE18" s="899">
        <f t="shared" si="4"/>
        <v>0</v>
      </c>
      <c r="BF18" s="899">
        <f t="shared" si="4"/>
        <v>0</v>
      </c>
      <c r="BG18" s="899">
        <f>IF(ISNUMBER(Datos!K18/Datos!J18),Datos!K18/Datos!J18," - ")</f>
        <v>1.2145328719723183</v>
      </c>
      <c r="BH18" s="903">
        <f>IF(ISNUMBER(((Datos!L18/Datos!K18)*11)/factor_trimestre),((Datos!L18/Datos!K18)*11)/factor_trimestre," - ")</f>
        <v>3.1538461538461537</v>
      </c>
      <c r="BI18" s="899">
        <f>SUBTOTAL(9,BI15:BI17)</f>
        <v>0.32580174927113703</v>
      </c>
      <c r="BJ18" s="899">
        <f>SUBTOTAL(9,BJ15:BJ17)</f>
        <v>0</v>
      </c>
      <c r="BK18" s="899">
        <f>SUBTOTAL(9,BK15:BK17)</f>
        <v>0</v>
      </c>
      <c r="BL18" s="899">
        <f>IF(ISNUMBER((I18-AB18+L18)/(F18)),(I18-AB18+L18)/(F18)," - ")</f>
        <v>-0.9616438356164384</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v>
      </c>
      <c r="F19" s="820">
        <f t="shared" si="6"/>
        <v>366</v>
      </c>
      <c r="G19" s="820">
        <f t="shared" si="6"/>
        <v>432</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107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352</v>
      </c>
      <c r="AC19" s="821">
        <f t="shared" si="7"/>
        <v>45</v>
      </c>
      <c r="AD19" s="821">
        <f t="shared" si="7"/>
        <v>0</v>
      </c>
      <c r="AE19" s="821">
        <f t="shared" si="7"/>
        <v>0</v>
      </c>
      <c r="AF19" s="828">
        <f t="shared" si="7"/>
        <v>370</v>
      </c>
      <c r="AG19" s="828">
        <f t="shared" si="7"/>
        <v>0</v>
      </c>
      <c r="AH19" s="828">
        <f t="shared" si="7"/>
        <v>15</v>
      </c>
      <c r="AI19" s="828">
        <f t="shared" si="7"/>
        <v>0</v>
      </c>
      <c r="AJ19" s="821">
        <f t="shared" si="7"/>
        <v>0</v>
      </c>
      <c r="AK19" s="828">
        <f t="shared" si="7"/>
        <v>0</v>
      </c>
      <c r="AL19" s="828">
        <f t="shared" si="7"/>
        <v>0</v>
      </c>
      <c r="AM19" s="828">
        <f t="shared" si="7"/>
        <v>579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124</v>
      </c>
      <c r="BD19" s="820">
        <f t="shared" si="7"/>
        <v>283</v>
      </c>
      <c r="BE19" s="820">
        <f t="shared" si="7"/>
        <v>0</v>
      </c>
      <c r="BF19" s="830">
        <f t="shared" si="7"/>
        <v>0</v>
      </c>
      <c r="BG19" s="915">
        <f>IF(ISNUMBER(Datos!K19/Datos!J19),Datos!K19/Datos!J19," - ")</f>
        <v>1.2271805273833671</v>
      </c>
      <c r="BH19" s="915">
        <f>IF(ISNUMBER(((Datos!L19/Datos!K19)*11)/factor_trimestre),((Datos!L19/Datos!K19)*11)/factor_trimestre," - ")</f>
        <v>3.3768595041322311</v>
      </c>
      <c r="BI19" s="813">
        <f>IF(ISNUMBER(Datos!J19/Datos!I19),Datos!J19/Datos!I19," - ")</f>
        <v>0.62168978562421184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-0.96174863387978138</v>
      </c>
      <c r="BM19" s="889">
        <f>IF(ISNUMBER((Datos!P19-Datos!Q19+R19)/(Datos!R19-Datos!P19+Datos!Q19-R19)),(Datos!P19-Datos!Q19+R19)/(Datos!R19-Datos!P19+Datos!Q19-R19)," - ")</f>
        <v>0.11992263056092843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1.0540925533894598</v>
      </c>
      <c r="F21" s="551">
        <f>IF(ISNUMBER(STDEV(F8:F18)),STDEV(F8:F18),"-")</f>
        <v>210.15549798502377</v>
      </c>
      <c r="G21" s="552">
        <f>IF(ISNUMBER(STDEV(G8:G18)),STDEV(G8:G18),"-")</f>
        <v>208.59338436297543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188.27692370548229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43.486396340311607</v>
      </c>
      <c r="BD21" s="551"/>
      <c r="BE21" s="551">
        <f>IF(ISNUMBER(STDEV(BE8:BE18)),STDEV(BE8:BE18),"-")</f>
        <v>0</v>
      </c>
      <c r="BF21" s="556">
        <f>IF(ISNUMBER(STDEV(BF8:BF18)),STDEV(BF8:BF18),"-")</f>
        <v>0</v>
      </c>
      <c r="BG21" s="775">
        <f>IF(ISNUMBER(STDEV(BG8:BG18)),STDEV(BG8:BG18),"-")</f>
        <v>0.26009253228637502</v>
      </c>
      <c r="BH21" s="776">
        <f>IF(ISNUMBER(STDEV(BH8:BH18)),STDEV(BH8:BH18),"-")</f>
        <v>9.5709901960414872</v>
      </c>
      <c r="BI21" s="249">
        <f>IF(ISNUMBER(STDEV(BI8:BI18)),STDEV(BI8:BI18),"-")</f>
        <v>0.12337044175383512</v>
      </c>
      <c r="BJ21" s="230" t="str">
        <f>IF(ISNUMBER(BL21/BM21),BL21/BM21," - ")</f>
        <v xml:space="preserve"> - </v>
      </c>
      <c r="BK21" s="575"/>
      <c r="BL21" s="559">
        <f>IF(ISNUMBER(STDEV(BL8:BL18)),STDEV(BL8:BL18),"-")</f>
        <v>2.7121903935922335E-2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tNM160zGYmnLRgGPPlTDARvnoQhxbZdhJEFtG/v56xqOX9JN9SXq+ximGgJ4NNCx3AL/bDybkB98FqMDrUdxPw==" saltValue="8KJsga0S6ZvJZBOltW3Bf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ASTURIAS</v>
      </c>
    </row>
    <row r="2" spans="1:73" ht="16.5" customHeight="1">
      <c r="C2" s="528" t="str">
        <f>Criterios!A10 &amp;"  "&amp;Criterios!B10 &amp; "  " &amp; IF(NOT(ISBLANK(Criterios!A11)),Criterios!A11 &amp;"  "&amp;Criterios!B11,"")</f>
        <v>Provincias  ASTURIAS  Resumenes por Partidos Judiciales  GRADO</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542</v>
      </c>
      <c r="AF12" s="229" t="str">
        <f>IF(ISNUMBER(Datos!BV12),Datos!BV12," - ")</f>
        <v xml:space="preserve"> - </v>
      </c>
      <c r="AG12" s="225" t="str">
        <f>IF(ISNUMBER(Datos!DV12),Datos!DV12," - ")</f>
        <v xml:space="preserve"> - </v>
      </c>
      <c r="AH12" s="298"/>
      <c r="AI12" s="227"/>
      <c r="AJ12" s="225">
        <f>IF(ISNUMBER(Datos!M12),Datos!M12," - ")</f>
        <v>95</v>
      </c>
      <c r="AK12" s="229">
        <f>IF(ISNUMBER(Datos!N12),Datos!N12," - ")</f>
        <v>120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3.5563636363636366</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0.11293634496919917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37</v>
      </c>
      <c r="AA13" s="900">
        <f t="shared" si="2"/>
        <v>1</v>
      </c>
      <c r="AB13" s="900">
        <f t="shared" si="2"/>
        <v>0</v>
      </c>
      <c r="AC13" s="900">
        <f t="shared" si="2"/>
        <v>0</v>
      </c>
      <c r="AD13" s="900">
        <f t="shared" si="2"/>
        <v>0</v>
      </c>
      <c r="AE13" s="900">
        <f t="shared" si="2"/>
        <v>544</v>
      </c>
      <c r="AF13" s="908">
        <f t="shared" si="2"/>
        <v>0</v>
      </c>
      <c r="AG13" s="908">
        <f t="shared" si="2"/>
        <v>0</v>
      </c>
      <c r="AH13" s="908">
        <f t="shared" si="2"/>
        <v>0</v>
      </c>
      <c r="AI13" s="908">
        <f t="shared" si="2"/>
        <v>0</v>
      </c>
      <c r="AJ13" s="908">
        <f t="shared" si="2"/>
        <v>96</v>
      </c>
      <c r="AK13" s="908">
        <f t="shared" si="2"/>
        <v>120</v>
      </c>
      <c r="AL13" s="908">
        <f t="shared" si="2"/>
        <v>0</v>
      </c>
      <c r="AM13" s="908">
        <f t="shared" si="2"/>
        <v>0</v>
      </c>
      <c r="AN13" s="908">
        <f t="shared" si="2"/>
        <v>0</v>
      </c>
      <c r="AO13" s="904">
        <f>IF(ISNUMBER(((NºAsuntos!I13/NºAsuntos!G13)*11)/factor_trimestre),((NºAsuntos!I13/NºAsuntos!G13)*11)/factor_trimestre," - ")</f>
        <v>3.5543478260869565</v>
      </c>
      <c r="AP13" s="910" t="str">
        <f>IF(ISNUMBER(Datos!CI13/Datos!CJ13),Datos!CI13/Datos!CJ13," - ")</f>
        <v xml:space="preserve"> - </v>
      </c>
      <c r="AQ13" s="928">
        <f t="shared" ref="AQ13:AV13" si="3">SUBTOTAL(9,AQ9:AQ12)</f>
        <v>0</v>
      </c>
      <c r="AR13" s="928">
        <f t="shared" si="3"/>
        <v>0.11293634496919917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2</v>
      </c>
      <c r="B16" s="507" t="s">
        <v>396</v>
      </c>
      <c r="C16" s="160" t="str">
        <f>Datos!A16</f>
        <v xml:space="preserve">Jdos. 1ª Instª. e Instr.                        </v>
      </c>
      <c r="D16" s="502"/>
      <c r="E16" s="1168">
        <f>IF(ISNUMBER(Datos!AQ16),Datos!AQ16," - ")</f>
        <v>2</v>
      </c>
      <c r="F16" s="333">
        <f>IF(ISNUMBER(AA16+Y16-Datos!J16-K15),AA16+Y16-Datos!J16-K15," - ")</f>
        <v>365</v>
      </c>
      <c r="G16" s="225">
        <f>IF(ISNUMBER(IF(D_I="SI",Datos!I16,Datos!I16+Datos!AC16)),IF(D_I="SI",Datos!I16,Datos!I16+Datos!AC16)," - ")</f>
        <v>365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343</v>
      </c>
      <c r="Z16" s="619">
        <f>IF(ISNUMBER(Datos!Q16),Datos!Q16," - ")</f>
        <v>8</v>
      </c>
      <c r="AA16" s="332">
        <f>IF(ISNUMBER(IF(D_I="SI",Datos!L16,Datos!L16+Datos!AF16)),IF(D_I="SI",Datos!L16,Datos!L16+Datos!AF16)," - ")</f>
        <v>298</v>
      </c>
      <c r="AB16" s="334"/>
      <c r="AC16" s="334"/>
      <c r="AD16" s="484"/>
      <c r="AE16" s="484">
        <f>IF(ISNUMBER(Datos!R16),Datos!R16," - ")</f>
        <v>35</v>
      </c>
      <c r="AF16" s="229" t="str">
        <f>IF(ISNUMBER(Datos!BV16),Datos!BV16," - ")</f>
        <v xml:space="preserve"> - </v>
      </c>
      <c r="AG16" s="225"/>
      <c r="AH16" s="298"/>
      <c r="AI16" s="227"/>
      <c r="AJ16" s="225">
        <f>IF(ISNUMBER(Datos!M16),Datos!M16," - ")</f>
        <v>26</v>
      </c>
      <c r="AK16" s="229">
        <f>IF(ISNUMBER(Datos!N16),Datos!N16," - ")</f>
        <v>156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2.6064139941690962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71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26.625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2</v>
      </c>
      <c r="F18" s="898">
        <f>SUBTOTAL(9,F15:F17)</f>
        <v>365</v>
      </c>
      <c r="G18" s="898">
        <f>SUBTOTAL(9,G15:G17)</f>
        <v>431</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351</v>
      </c>
      <c r="Z18" s="932">
        <f t="shared" si="5"/>
        <v>8</v>
      </c>
      <c r="AA18" s="932">
        <f t="shared" si="5"/>
        <v>369</v>
      </c>
      <c r="AB18" s="932">
        <f t="shared" si="5"/>
        <v>0</v>
      </c>
      <c r="AC18" s="932">
        <f t="shared" si="5"/>
        <v>0</v>
      </c>
      <c r="AD18" s="932">
        <f t="shared" si="5"/>
        <v>0</v>
      </c>
      <c r="AE18" s="932">
        <f t="shared" si="5"/>
        <v>35</v>
      </c>
      <c r="AF18" s="932">
        <f t="shared" si="5"/>
        <v>0</v>
      </c>
      <c r="AG18" s="932">
        <f t="shared" si="5"/>
        <v>0</v>
      </c>
      <c r="AH18" s="932">
        <f t="shared" si="5"/>
        <v>0</v>
      </c>
      <c r="AI18" s="932">
        <f t="shared" si="5"/>
        <v>0</v>
      </c>
      <c r="AJ18" s="932">
        <f t="shared" si="5"/>
        <v>28</v>
      </c>
      <c r="AK18" s="932">
        <f t="shared" si="5"/>
        <v>163</v>
      </c>
      <c r="AL18" s="932">
        <f t="shared" si="5"/>
        <v>0</v>
      </c>
      <c r="AM18" s="932">
        <f t="shared" si="5"/>
        <v>0</v>
      </c>
      <c r="AN18" s="932">
        <f t="shared" si="5"/>
        <v>0</v>
      </c>
      <c r="AO18" s="934">
        <f>IF(ISNUMBER(((NºAsuntos!I18/NºAsuntos!G18)*11)/factor_trimestre),((NºAsuntos!I18/NºAsuntos!G18)*11)/factor_trimestre," - ")</f>
        <v>3.1538461538461537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v>
      </c>
      <c r="F19" s="820">
        <f t="shared" si="7"/>
        <v>366</v>
      </c>
      <c r="G19" s="820">
        <f t="shared" si="7"/>
        <v>432</v>
      </c>
      <c r="H19" s="821">
        <f t="shared" si="7"/>
        <v>0</v>
      </c>
      <c r="I19" s="820">
        <f t="shared" si="7"/>
        <v>0</v>
      </c>
      <c r="J19" s="822">
        <f t="shared" si="7"/>
        <v>0</v>
      </c>
      <c r="K19" s="820">
        <f t="shared" si="7"/>
        <v>0</v>
      </c>
      <c r="L19" s="823">
        <f t="shared" si="7"/>
        <v>0</v>
      </c>
      <c r="M19" s="820">
        <f t="shared" si="7"/>
        <v>0</v>
      </c>
      <c r="N19" s="821">
        <f t="shared" si="7"/>
        <v>107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352</v>
      </c>
      <c r="Z19" s="827">
        <f t="shared" si="8"/>
        <v>45</v>
      </c>
      <c r="AA19" s="828">
        <f t="shared" si="8"/>
        <v>370</v>
      </c>
      <c r="AB19" s="828">
        <f t="shared" si="8"/>
        <v>0</v>
      </c>
      <c r="AC19" s="828">
        <f t="shared" si="8"/>
        <v>0</v>
      </c>
      <c r="AD19" s="829">
        <f t="shared" si="8"/>
        <v>0</v>
      </c>
      <c r="AE19" s="829">
        <f t="shared" si="8"/>
        <v>579</v>
      </c>
      <c r="AF19" s="830">
        <f t="shared" si="8"/>
        <v>0</v>
      </c>
      <c r="AG19" s="831">
        <f t="shared" si="8"/>
        <v>0</v>
      </c>
      <c r="AH19" s="832">
        <f t="shared" si="8"/>
        <v>0</v>
      </c>
      <c r="AI19" s="830">
        <f t="shared" si="8"/>
        <v>0</v>
      </c>
      <c r="AJ19" s="820">
        <f t="shared" si="8"/>
        <v>124</v>
      </c>
      <c r="AK19" s="820">
        <f t="shared" si="8"/>
        <v>283</v>
      </c>
      <c r="AL19" s="820">
        <f t="shared" si="8"/>
        <v>0</v>
      </c>
      <c r="AM19" s="833">
        <f t="shared" si="8"/>
        <v>0</v>
      </c>
      <c r="AN19" s="823">
        <f>IF(ISNUMBER(Datos!K19/Datos!J19),Datos!K19/Datos!J19," - ")</f>
        <v>1.2271805273833671</v>
      </c>
      <c r="AO19" s="823">
        <f>IF(ISNUMBER(FIND("06",Criterios!A8,1)),(IF(ISNUMBER(((Datos!R19/Datos!Q19)*11)/factor_trimestre),((Datos!R19/Datos!Q19)*11)/factor_trimestre," - ")),(IF(ISNUMBER(((Datos!L19/Datos!K19)*11)/factor_trimestre),((Datos!L19/Datos!K19)*11)/factor_trimestre," - ")))</f>
        <v>3.3768595041322311</v>
      </c>
      <c r="AP19" s="834" t="str">
        <f>IF(ISNUMBER(Datos!CI19/Datos!CJ19),Datos!CI19/Datos!CJ19," - ")</f>
        <v xml:space="preserve"> - </v>
      </c>
      <c r="AQ19" s="834">
        <f>IF(OR(ISNUMBER(FIND("01",Criterios!A8,1)),ISNUMBER(FIND("02",Criterios!A8,1)),ISNUMBER(FIND("03",Criterios!A8,1)),ISNUMBER(FIND("04",Criterios!A8,1))),(J19-Y19+K19)/(F19-K19),(I19-Y19+K19)/(F19-K19))</f>
        <v>-0.96174863387978138</v>
      </c>
      <c r="AR19" s="834">
        <f>IF(ISNUMBER((Datos!P19-Datos!Q19+O19)/(Datos!R19-Datos!P19+Datos!Q19-O19)),(Datos!P19-Datos!Q19+O19)/(Datos!R19-Datos!P19+Datos!Q19-O19)," - ")</f>
        <v>0.11992263056092843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210.15549798502377</v>
      </c>
      <c r="G21" s="552">
        <f>IF(ISNUMBER(STDEV(G8:G18)),STDEV(G8:G18),"-")</f>
        <v>208.59338436297543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43.486396340311607</v>
      </c>
      <c r="AK21" s="252"/>
      <c r="AL21" s="252">
        <f>IF(ISNUMBER(STDEV(AL8:AL18)),STDEV(AL8:AL18),"-")</f>
        <v>0</v>
      </c>
      <c r="AM21" s="254">
        <f>IF(ISNUMBER(STDEV(AM8:AM18)),STDEV(AM8:AM18),"-")</f>
        <v>0</v>
      </c>
      <c r="AN21" s="539">
        <f>IF(ISNUMBER(STDEV(AN8:AN18)),STDEV(AN8:AN18),"-")</f>
        <v>0</v>
      </c>
      <c r="AO21" s="540">
        <f>IF(ISNUMBER(STDEV(AO8:AO18)),STDEV(AO8:AO18),"-")</f>
        <v>9.5804725847361301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4ZMv9AZUTsVZRlorI0fj0uH5wCqmN1qK57eHyO+boue/0R/Teeh0Dw9HXCr+GB2UkYbnNedcUSxIeIHxDCtZaA==" saltValue="kTDrFz3nW98Vd9PMNL33u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1oDEvsyBLTCRdvmUNjrXsapAYeFITeNIz5T9gxssI4/rdejOANECBmD+PQgGl5LIQB6qzwSbXBPhrnaDRWSRoA==" saltValue="5/g5H9ThSQXMEbwisjt+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ASTURIAS</v>
      </c>
    </row>
    <row r="4" spans="1:155" ht="13.5" thickBot="1">
      <c r="A4" t="str">
        <f>Criterios!A10</f>
        <v>Provincias</v>
      </c>
      <c r="B4" t="str">
        <f>Criterios!B10</f>
        <v>ASTURIAS</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sHGD7bL4DHkAhEejsYZ69m+CiJHzYKrF1ptLSv2sJ8aK2pAcK7Xh9KoHS67i1bJwZyT9nz2JWWLiZ1LO7VCjfQ==" saltValue="kjOxG2xXvpxM+347Fh9nq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ASTURIAS</v>
      </c>
    </row>
    <row r="2" spans="1:75" ht="16.5" customHeight="1">
      <c r="C2" s="488" t="str">
        <f>Criterios!A10 &amp;"  "&amp;Criterios!B10 &amp; "  " &amp; IF(NOT(ISBLANK(Criterios!A11)),Criterios!A11 &amp;"  "&amp;Criterios!B11,"")</f>
        <v>Provincias  ASTURIAS  Resumenes por Partidos Judiciales  GRADO</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0.34782608695652173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0.24595018476053826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fhn7lsI+oFo9rrxxi2sEYwLbd7m7ZwIVPlayWewbB/KqgodeBKF8W4/OEb3KG34xBFa3hbpp+oLGNLdp/B588A==" saltValue="LthmzlLuzqOrq5lW+Z+FT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7DvmulW0lAcr2Sp0GK7cYEyv7/lwHiXGmb3639aK3nUi6YVFjXj424IhrrRu49nUm7rX9QqrARyIIp+YPourg==" saltValue="8ERfBYXCUpoUmG8GmFw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ASTURIAS</v>
      </c>
      <c r="W1"/>
      <c r="X1"/>
    </row>
    <row r="2" spans="1:65" ht="16.5" customHeight="1">
      <c r="C2" s="488" t="str">
        <f>Criterios!A10 &amp;"  "&amp;Criterios!B10 &amp; "  " &amp; IF(NOT(ISBLANK(Criterios!A11)),Criterios!A11 &amp;"  "&amp;Criterios!B11,"")</f>
        <v>Provincias  ASTURIAS  Resumenes por Partidos Judiciales  GRADO</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95</v>
      </c>
      <c r="AM12" s="690">
        <f>IF(ISNUMBER(Datos!N12+DatosP!N16),Datos!N12+DatosP!N16," - ")</f>
        <v>120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3.5563636363636366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0.11293634496919917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37</v>
      </c>
      <c r="AE13" s="939">
        <f t="shared" si="1"/>
        <v>0</v>
      </c>
      <c r="AF13" s="939">
        <f t="shared" si="1"/>
        <v>1</v>
      </c>
      <c r="AG13" s="939">
        <f t="shared" si="1"/>
        <v>0</v>
      </c>
      <c r="AH13" s="939">
        <f t="shared" si="1"/>
        <v>542</v>
      </c>
      <c r="AI13" s="939">
        <f t="shared" si="1"/>
        <v>0</v>
      </c>
      <c r="AJ13" s="939">
        <f t="shared" si="1"/>
        <v>0</v>
      </c>
      <c r="AK13" s="939">
        <f t="shared" si="1"/>
        <v>0</v>
      </c>
      <c r="AL13" s="939">
        <f t="shared" si="1"/>
        <v>96</v>
      </c>
      <c r="AM13" s="939">
        <f t="shared" si="1"/>
        <v>120</v>
      </c>
      <c r="AN13" s="939">
        <f t="shared" si="1"/>
        <v>0</v>
      </c>
      <c r="AO13" s="939">
        <f t="shared" si="1"/>
        <v>0</v>
      </c>
      <c r="AP13" s="944">
        <f>IF(ISNUMBER(((Datos!L13/Datos!K13)*11)/factor_trimestre),((Datos!L13/Datos!K13)*11)/factor_trimestre," - ")</f>
        <v>3.6850393700787407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0.11293634496919917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3.1538461538461537</v>
      </c>
      <c r="AQ18" s="944">
        <f>IF(ISNUMBER(((Datos!M18/Datos!L18)*11)/factor_trimestre),((Datos!M18/Datos!L18)*11)/factor_trimestre," - ")</f>
        <v>0.22764227642276424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-9.0604026845637578E-2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37</v>
      </c>
      <c r="AE19" s="957">
        <f t="shared" si="5"/>
        <v>0</v>
      </c>
      <c r="AF19" s="958">
        <f t="shared" si="5"/>
        <v>1</v>
      </c>
      <c r="AG19" s="958">
        <f t="shared" si="5"/>
        <v>0</v>
      </c>
      <c r="AH19" s="958">
        <f t="shared" si="5"/>
        <v>542</v>
      </c>
      <c r="AI19" s="958">
        <f t="shared" si="5"/>
        <v>0</v>
      </c>
      <c r="AJ19" s="959">
        <f t="shared" si="5"/>
        <v>0</v>
      </c>
      <c r="AK19" s="959">
        <f t="shared" si="5"/>
        <v>0</v>
      </c>
      <c r="AL19" s="951">
        <f t="shared" si="5"/>
        <v>96</v>
      </c>
      <c r="AM19" s="951">
        <f t="shared" si="5"/>
        <v>120</v>
      </c>
      <c r="AN19" s="951">
        <f t="shared" si="5"/>
        <v>0</v>
      </c>
      <c r="AO19" s="951">
        <f t="shared" si="5"/>
        <v>0</v>
      </c>
      <c r="AP19" s="951">
        <f>IF(ISNUMBER(((Datos!L19/Datos!K19)*11)/factor_trimestre),((Datos!L19/Datos!K19)*11)/factor_trimestre," - ")</f>
        <v>3.3768595041322311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0.11992263056092843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1.0327955589886446</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54.851314174472307</v>
      </c>
      <c r="AM21" s="736"/>
      <c r="AN21" s="736">
        <f>IF(ISNUMBER(STDEV(AN8:AN18)),STDEV(AN8:AN18),"-")</f>
        <v>0</v>
      </c>
      <c r="AO21" s="742">
        <f>IF(ISNUMBER(STDEV(AO8:AO18)),STDEV(AO8:AO18),"-")</f>
        <v>0</v>
      </c>
      <c r="AP21" s="779">
        <f>IF(ISNUMBER(STDEV(AP8:AP18)),STDEV(AP8:AP18),"-")</f>
        <v>0.32445236869605293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cJVMZUshbCtz0cROhpeUyfstsEG1BD7X6ik3z+D0nyKmZdqw+IUX5aWiETkLJWl3PgUg2vhMWwYalGDzLhs7w==" saltValue="N9uUOe/wUdwkU/W8dsVZO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